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slicers/slicer3.xml" ContentType="application/vnd.ms-excel.slicer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tables/table9.xml" ContentType="application/vnd.openxmlformats-officedocument.spreadsheetml.table+xml"/>
  <Override PartName="/xl/slicers/slicer4.xml" ContentType="application/vnd.ms-excel.slicer+xml"/>
  <Override PartName="/xl/drawings/drawing5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licers/slicer5.xml" ContentType="application/vnd.ms-excel.slicer+xml"/>
  <Override PartName="/xl/drawings/drawing6.xml" ContentType="application/vnd.openxmlformats-officedocument.drawing+xml"/>
  <Override PartName="/xl/tables/table1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slicers/slicer6.xml" ContentType="application/vnd.ms-excel.slicer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8.xml" ContentType="application/vnd.openxmlformats-officedocument.drawing+xml"/>
  <Override PartName="/xl/tables/table19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95b86222240d83/Dokument/FOTBOLL/ÅHUS IF/ÅHUS IF DAM 2026/"/>
    </mc:Choice>
  </mc:AlternateContent>
  <xr:revisionPtr revIDLastSave="1899" documentId="8_{5DC8FB89-7C89-4D15-B7C7-4421D81E1AE9}" xr6:coauthVersionLast="47" xr6:coauthVersionMax="47" xr10:uidLastSave="{FBEBEF47-49F9-46F0-A409-693AAA3AFB57}"/>
  <bookViews>
    <workbookView xWindow="-108" yWindow="-108" windowWidth="23256" windowHeight="12456" activeTab="1" xr2:uid="{5B4BED17-A00A-4EC5-81F7-C6904C232496}"/>
  </bookViews>
  <sheets>
    <sheet name="SUMMARY" sheetId="24" r:id="rId1"/>
    <sheet name="ALLA ÅR" sheetId="1" r:id="rId2"/>
    <sheet name="SUMMERING" sheetId="3" r:id="rId3"/>
    <sheet name="MÅL" sheetId="6" r:id="rId4"/>
    <sheet name="MATCHER" sheetId="4" r:id="rId5"/>
    <sheet name="TABELLER" sheetId="5" r:id="rId6"/>
    <sheet name="100%" sheetId="20" r:id="rId7"/>
    <sheet name="ÅLDER" sheetId="12" r:id="rId8"/>
    <sheet name="Blad3" sheetId="23" r:id="rId9"/>
    <sheet name="MAT DIV 1 &amp; 2" sheetId="14" r:id="rId10"/>
    <sheet name="Blad2" sheetId="17" r:id="rId11"/>
  </sheets>
  <externalReferences>
    <externalReference r:id="rId12"/>
  </externalReferences>
  <definedNames>
    <definedName name="Slicer_MAT">#N/A</definedName>
    <definedName name="Slicer_MÅL">#N/A</definedName>
    <definedName name="Slicer_Namn">#N/A</definedName>
    <definedName name="Slicer_UTV">#N/A</definedName>
    <definedName name="Slicer_VAR">#N/A</definedName>
    <definedName name="Slicer_ÅR">#N/A</definedName>
    <definedName name="Utsnitt_A_LAGS_MATCHER">#N/A</definedName>
    <definedName name="Utsnitt_ANTAL_SÄSONGER1">#N/A</definedName>
    <definedName name="Utsnitt_BORTALAG">#N/A</definedName>
    <definedName name="Utsnitt_DIVISION">#N/A</definedName>
    <definedName name="Utsnitt_HEMMALAG">#N/A</definedName>
    <definedName name="Utsnitt_MAT">#N/A</definedName>
    <definedName name="Utsnitt_MÅL">#N/A</definedName>
    <definedName name="Utsnitt_Namn">#N/A</definedName>
    <definedName name="Utsnitt_Namn1">#N/A</definedName>
    <definedName name="Utsnitt_Namn2">#N/A</definedName>
    <definedName name="Utsnitt_Namn3">#N/A</definedName>
    <definedName name="Utsnitt_Namn4">#N/A</definedName>
    <definedName name="Utsnitt_Namn5">#N/A</definedName>
    <definedName name="Utsnitt_SENASTE">#N/A</definedName>
    <definedName name="Utsnitt_SENASTE1">#N/A</definedName>
    <definedName name="Utsnitt_SÄS">#N/A</definedName>
    <definedName name="Utsnitt_UTV">#N/A</definedName>
    <definedName name="Utsnitt_VAR">#N/A</definedName>
    <definedName name="Utsnitt_ÅLDER">#N/A</definedName>
    <definedName name="Utsnitt_ÅLDER1">#N/A</definedName>
    <definedName name="Utsnitt_ÅR">#N/A</definedName>
    <definedName name="Utsnitt_ÅR1">#N/A</definedName>
    <definedName name="Utsnitt_ÅR2">#N/A</definedName>
    <definedName name="Utsnitt_ÅR3">#N/A</definedName>
    <definedName name="Utsnitt_ÅR4">#N/A</definedName>
  </definedNames>
  <calcPr calcId="191028"/>
  <pivotCaches>
    <pivotCache cacheId="8" r:id="rId13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26" i="4" l="1"/>
  <c r="AU15" i="4"/>
  <c r="AU16" i="4"/>
  <c r="AU18" i="4"/>
  <c r="AU27" i="4"/>
  <c r="AU20" i="4"/>
  <c r="AU19" i="4"/>
  <c r="AU17" i="4"/>
  <c r="AU21" i="4"/>
  <c r="AU28" i="4"/>
  <c r="AU58" i="4"/>
  <c r="AU22" i="4"/>
  <c r="AU30" i="4"/>
  <c r="AU29" i="4"/>
  <c r="AU37" i="4"/>
  <c r="AU60" i="4"/>
  <c r="AU23" i="4"/>
  <c r="AU24" i="4"/>
  <c r="AU25" i="4"/>
  <c r="AU33" i="4"/>
  <c r="AU31" i="4"/>
  <c r="AU38" i="4"/>
  <c r="AU64" i="4"/>
  <c r="AU32" i="4"/>
  <c r="AU39" i="4"/>
  <c r="AU65" i="4"/>
  <c r="AU66" i="4"/>
  <c r="AU95" i="4"/>
  <c r="AU40" i="4"/>
  <c r="AU59" i="4"/>
  <c r="AU85" i="4"/>
  <c r="AU34" i="4"/>
  <c r="AU35" i="4"/>
  <c r="AU36" i="4"/>
  <c r="AU41" i="4"/>
  <c r="AU42" i="4"/>
  <c r="AU43" i="4"/>
  <c r="AU61" i="4"/>
  <c r="AU62" i="4"/>
  <c r="AU63" i="4"/>
  <c r="AU86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70" i="4"/>
  <c r="AU71" i="4"/>
  <c r="AU72" i="4"/>
  <c r="AU73" i="4"/>
  <c r="AU74" i="4"/>
  <c r="AU67" i="4"/>
  <c r="AU68" i="4"/>
  <c r="AU69" i="4"/>
  <c r="AU102" i="4"/>
  <c r="AU103" i="4"/>
  <c r="AU96" i="4"/>
  <c r="AU97" i="4"/>
  <c r="AU98" i="4"/>
  <c r="AU99" i="4"/>
  <c r="AU100" i="4"/>
  <c r="AU101" i="4"/>
  <c r="AU57" i="4"/>
  <c r="AU87" i="4"/>
  <c r="AU88" i="4"/>
  <c r="AU89" i="4"/>
  <c r="AU75" i="4"/>
  <c r="AU76" i="4"/>
  <c r="AU77" i="4"/>
  <c r="AU78" i="4"/>
  <c r="AU79" i="4"/>
  <c r="AU80" i="4"/>
  <c r="AU81" i="4"/>
  <c r="AU82" i="4"/>
  <c r="AU83" i="4"/>
  <c r="AU84" i="4"/>
  <c r="AU104" i="4"/>
  <c r="AU105" i="4"/>
  <c r="AU90" i="4"/>
  <c r="AU91" i="4"/>
  <c r="AU92" i="4"/>
  <c r="AU93" i="4"/>
  <c r="AU94" i="4"/>
  <c r="AT26" i="4"/>
  <c r="AT15" i="4"/>
  <c r="AT16" i="4"/>
  <c r="AT18" i="4"/>
  <c r="AT27" i="4"/>
  <c r="AT20" i="4"/>
  <c r="AT19" i="4"/>
  <c r="AT17" i="4"/>
  <c r="AT21" i="4"/>
  <c r="AT28" i="4"/>
  <c r="AT58" i="4"/>
  <c r="AT22" i="4"/>
  <c r="AT30" i="4"/>
  <c r="AT29" i="4"/>
  <c r="AT37" i="4"/>
  <c r="AT60" i="4"/>
  <c r="AT23" i="4"/>
  <c r="AT24" i="4"/>
  <c r="AT25" i="4"/>
  <c r="AT33" i="4"/>
  <c r="AT31" i="4"/>
  <c r="AT38" i="4"/>
  <c r="AT64" i="4"/>
  <c r="AT32" i="4"/>
  <c r="AT39" i="4"/>
  <c r="AT65" i="4"/>
  <c r="AT66" i="4"/>
  <c r="AT95" i="4"/>
  <c r="AT40" i="4"/>
  <c r="AT59" i="4"/>
  <c r="AT85" i="4"/>
  <c r="AT34" i="4"/>
  <c r="AT35" i="4"/>
  <c r="AT36" i="4"/>
  <c r="AT41" i="4"/>
  <c r="AT42" i="4"/>
  <c r="AT43" i="4"/>
  <c r="AT61" i="4"/>
  <c r="AT62" i="4"/>
  <c r="AT63" i="4"/>
  <c r="AT86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70" i="4"/>
  <c r="AT71" i="4"/>
  <c r="AT72" i="4"/>
  <c r="AT73" i="4"/>
  <c r="AT74" i="4"/>
  <c r="AT67" i="4"/>
  <c r="AT68" i="4"/>
  <c r="AT69" i="4"/>
  <c r="AT102" i="4"/>
  <c r="AT103" i="4"/>
  <c r="AT96" i="4"/>
  <c r="AT97" i="4"/>
  <c r="AT98" i="4"/>
  <c r="AT99" i="4"/>
  <c r="AT100" i="4"/>
  <c r="AT101" i="4"/>
  <c r="AT57" i="4"/>
  <c r="AT87" i="4"/>
  <c r="AT88" i="4"/>
  <c r="AT89" i="4"/>
  <c r="AT75" i="4"/>
  <c r="AT76" i="4"/>
  <c r="AT77" i="4"/>
  <c r="AT78" i="4"/>
  <c r="AT79" i="4"/>
  <c r="AT80" i="4"/>
  <c r="AT81" i="4"/>
  <c r="AT82" i="4"/>
  <c r="AT83" i="4"/>
  <c r="AT84" i="4"/>
  <c r="AT104" i="4"/>
  <c r="AT105" i="4"/>
  <c r="AT90" i="4"/>
  <c r="AT91" i="4"/>
  <c r="AT92" i="4"/>
  <c r="AT93" i="4"/>
  <c r="AT94" i="4"/>
  <c r="AS26" i="4"/>
  <c r="AS15" i="4"/>
  <c r="AS16" i="4"/>
  <c r="AS18" i="4"/>
  <c r="AS27" i="4"/>
  <c r="AS20" i="4"/>
  <c r="AS19" i="4"/>
  <c r="AS17" i="4"/>
  <c r="AS21" i="4"/>
  <c r="AS28" i="4"/>
  <c r="AS58" i="4"/>
  <c r="AS22" i="4"/>
  <c r="AS30" i="4"/>
  <c r="AS29" i="4"/>
  <c r="AS37" i="4"/>
  <c r="AS60" i="4"/>
  <c r="AS23" i="4"/>
  <c r="AS24" i="4"/>
  <c r="AS25" i="4"/>
  <c r="AS33" i="4"/>
  <c r="AS31" i="4"/>
  <c r="AS38" i="4"/>
  <c r="AS64" i="4"/>
  <c r="AS32" i="4"/>
  <c r="AS39" i="4"/>
  <c r="AS65" i="4"/>
  <c r="AS66" i="4"/>
  <c r="AS95" i="4"/>
  <c r="AS40" i="4"/>
  <c r="AS59" i="4"/>
  <c r="AS85" i="4"/>
  <c r="AS34" i="4"/>
  <c r="AS35" i="4"/>
  <c r="AS36" i="4"/>
  <c r="AS41" i="4"/>
  <c r="AS42" i="4"/>
  <c r="AS43" i="4"/>
  <c r="AS61" i="4"/>
  <c r="AS62" i="4"/>
  <c r="AS63" i="4"/>
  <c r="AS86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70" i="4"/>
  <c r="AS71" i="4"/>
  <c r="AS72" i="4"/>
  <c r="AS73" i="4"/>
  <c r="AS74" i="4"/>
  <c r="AS67" i="4"/>
  <c r="AS68" i="4"/>
  <c r="AS69" i="4"/>
  <c r="AS102" i="4"/>
  <c r="AS103" i="4"/>
  <c r="AS96" i="4"/>
  <c r="AS97" i="4"/>
  <c r="AS98" i="4"/>
  <c r="AS99" i="4"/>
  <c r="AS100" i="4"/>
  <c r="AS101" i="4"/>
  <c r="AS57" i="4"/>
  <c r="AS87" i="4"/>
  <c r="AS88" i="4"/>
  <c r="AS89" i="4"/>
  <c r="AS75" i="4"/>
  <c r="AS76" i="4"/>
  <c r="AS77" i="4"/>
  <c r="AS78" i="4"/>
  <c r="AS79" i="4"/>
  <c r="AS80" i="4"/>
  <c r="AS81" i="4"/>
  <c r="AS82" i="4"/>
  <c r="AS83" i="4"/>
  <c r="AS84" i="4"/>
  <c r="AS104" i="4"/>
  <c r="AS105" i="4"/>
  <c r="AS90" i="4"/>
  <c r="AS91" i="4"/>
  <c r="AS92" i="4"/>
  <c r="AS93" i="4"/>
  <c r="AS94" i="4"/>
  <c r="AR26" i="4"/>
  <c r="AR15" i="4"/>
  <c r="AR16" i="4"/>
  <c r="AR18" i="4"/>
  <c r="AO18" i="4" s="1"/>
  <c r="AR27" i="4"/>
  <c r="AO27" i="4" s="1"/>
  <c r="AR20" i="4"/>
  <c r="AR19" i="4"/>
  <c r="AO19" i="4" s="1"/>
  <c r="AR17" i="4"/>
  <c r="AR21" i="4"/>
  <c r="AR28" i="4"/>
  <c r="AR58" i="4"/>
  <c r="AR22" i="4"/>
  <c r="AO22" i="4" s="1"/>
  <c r="AR30" i="4"/>
  <c r="AO30" i="4" s="1"/>
  <c r="AR29" i="4"/>
  <c r="AR37" i="4"/>
  <c r="AO37" i="4" s="1"/>
  <c r="AR60" i="4"/>
  <c r="AR23" i="4"/>
  <c r="AR24" i="4"/>
  <c r="AO24" i="4" s="1"/>
  <c r="AR25" i="4"/>
  <c r="AR33" i="4"/>
  <c r="AR31" i="4"/>
  <c r="AR38" i="4"/>
  <c r="AR64" i="4"/>
  <c r="AO64" i="4" s="1"/>
  <c r="AR32" i="4"/>
  <c r="AR39" i="4"/>
  <c r="AR65" i="4"/>
  <c r="AO65" i="4" s="1"/>
  <c r="AR66" i="4"/>
  <c r="AR95" i="4"/>
  <c r="AO95" i="4" s="1"/>
  <c r="AR40" i="4"/>
  <c r="AR59" i="4"/>
  <c r="AR85" i="4"/>
  <c r="AO85" i="4" s="1"/>
  <c r="AR34" i="4"/>
  <c r="AR35" i="4"/>
  <c r="AR36" i="4"/>
  <c r="AR41" i="4"/>
  <c r="AR42" i="4"/>
  <c r="AR43" i="4"/>
  <c r="AR61" i="4"/>
  <c r="AO61" i="4" s="1"/>
  <c r="AR62" i="4"/>
  <c r="AO62" i="4" s="1"/>
  <c r="AR63" i="4"/>
  <c r="AR86" i="4"/>
  <c r="AR44" i="4"/>
  <c r="AR45" i="4"/>
  <c r="AR46" i="4"/>
  <c r="AO46" i="4" s="1"/>
  <c r="AR47" i="4"/>
  <c r="AR48" i="4"/>
  <c r="AR49" i="4"/>
  <c r="AO49" i="4" s="1"/>
  <c r="AR50" i="4"/>
  <c r="AR51" i="4"/>
  <c r="AR52" i="4"/>
  <c r="AR53" i="4"/>
  <c r="AR54" i="4"/>
  <c r="AO54" i="4" s="1"/>
  <c r="AR55" i="4"/>
  <c r="AR56" i="4"/>
  <c r="AR70" i="4"/>
  <c r="AO70" i="4" s="1"/>
  <c r="AR71" i="4"/>
  <c r="AR72" i="4"/>
  <c r="AR73" i="4"/>
  <c r="AR74" i="4"/>
  <c r="AR67" i="4"/>
  <c r="AR68" i="4"/>
  <c r="AR69" i="4"/>
  <c r="AR102" i="4"/>
  <c r="AO102" i="4" s="1"/>
  <c r="AR103" i="4"/>
  <c r="AR96" i="4"/>
  <c r="AO96" i="4" s="1"/>
  <c r="AR97" i="4"/>
  <c r="AR98" i="4"/>
  <c r="AR99" i="4"/>
  <c r="AO99" i="4" s="1"/>
  <c r="AR100" i="4"/>
  <c r="AO100" i="4" s="1"/>
  <c r="AR101" i="4"/>
  <c r="AR57" i="4"/>
  <c r="AO57" i="4" s="1"/>
  <c r="AR87" i="4"/>
  <c r="AR88" i="4"/>
  <c r="AR89" i="4"/>
  <c r="AO89" i="4" s="1"/>
  <c r="AR75" i="4"/>
  <c r="AR76" i="4"/>
  <c r="AO76" i="4" s="1"/>
  <c r="AR77" i="4"/>
  <c r="AO77" i="4" s="1"/>
  <c r="AR78" i="4"/>
  <c r="AR79" i="4"/>
  <c r="AO79" i="4" s="1"/>
  <c r="AR80" i="4"/>
  <c r="AR81" i="4"/>
  <c r="AO81" i="4" s="1"/>
  <c r="AR82" i="4"/>
  <c r="AR83" i="4"/>
  <c r="AR84" i="4"/>
  <c r="AO84" i="4" s="1"/>
  <c r="AR104" i="4"/>
  <c r="AO104" i="4" s="1"/>
  <c r="AR105" i="4"/>
  <c r="AR90" i="4"/>
  <c r="AO90" i="4" s="1"/>
  <c r="AR91" i="4"/>
  <c r="AR92" i="4"/>
  <c r="AR93" i="4"/>
  <c r="AR94" i="4"/>
  <c r="AQ26" i="4"/>
  <c r="AQ15" i="4"/>
  <c r="AN15" i="4" s="1"/>
  <c r="AQ16" i="4"/>
  <c r="AQ18" i="4"/>
  <c r="AN18" i="4" s="1"/>
  <c r="AQ27" i="4"/>
  <c r="AQ20" i="4"/>
  <c r="AQ19" i="4"/>
  <c r="AQ17" i="4"/>
  <c r="AQ21" i="4"/>
  <c r="AN21" i="4" s="1"/>
  <c r="AQ28" i="4"/>
  <c r="AN28" i="4" s="1"/>
  <c r="AQ58" i="4"/>
  <c r="AQ22" i="4"/>
  <c r="AN22" i="4" s="1"/>
  <c r="AQ30" i="4"/>
  <c r="AQ29" i="4"/>
  <c r="AQ37" i="4"/>
  <c r="AQ60" i="4"/>
  <c r="AQ23" i="4"/>
  <c r="AQ24" i="4"/>
  <c r="AN24" i="4" s="1"/>
  <c r="AQ25" i="4"/>
  <c r="AQ33" i="4"/>
  <c r="AN33" i="4" s="1"/>
  <c r="AQ31" i="4"/>
  <c r="AQ38" i="4"/>
  <c r="AQ64" i="4"/>
  <c r="AQ32" i="4"/>
  <c r="AQ39" i="4"/>
  <c r="AQ65" i="4"/>
  <c r="AN65" i="4" s="1"/>
  <c r="AQ66" i="4"/>
  <c r="AQ95" i="4"/>
  <c r="AN95" i="4" s="1"/>
  <c r="AQ40" i="4"/>
  <c r="AQ59" i="4"/>
  <c r="AQ85" i="4"/>
  <c r="AQ34" i="4"/>
  <c r="AQ35" i="4"/>
  <c r="AQ36" i="4"/>
  <c r="AN36" i="4" s="1"/>
  <c r="AQ41" i="4"/>
  <c r="AQ42" i="4"/>
  <c r="AN42" i="4" s="1"/>
  <c r="AQ43" i="4"/>
  <c r="AQ61" i="4"/>
  <c r="AQ62" i="4"/>
  <c r="AN62" i="4" s="1"/>
  <c r="AQ63" i="4"/>
  <c r="AQ86" i="4"/>
  <c r="AQ44" i="4"/>
  <c r="AN44" i="4" s="1"/>
  <c r="AQ45" i="4"/>
  <c r="AQ46" i="4"/>
  <c r="AN46" i="4" s="1"/>
  <c r="AQ47" i="4"/>
  <c r="AQ48" i="4"/>
  <c r="AQ49" i="4"/>
  <c r="AQ50" i="4"/>
  <c r="AQ51" i="4"/>
  <c r="AQ52" i="4"/>
  <c r="AQ53" i="4"/>
  <c r="AQ54" i="4"/>
  <c r="AN54" i="4" s="1"/>
  <c r="AQ55" i="4"/>
  <c r="AQ56" i="4"/>
  <c r="AQ70" i="4"/>
  <c r="AQ71" i="4"/>
  <c r="AQ72" i="4"/>
  <c r="AQ73" i="4"/>
  <c r="AQ74" i="4"/>
  <c r="AQ67" i="4"/>
  <c r="AN67" i="4" s="1"/>
  <c r="AQ68" i="4"/>
  <c r="AQ69" i="4"/>
  <c r="AQ102" i="4"/>
  <c r="AN102" i="4" s="1"/>
  <c r="AQ103" i="4"/>
  <c r="AQ96" i="4"/>
  <c r="AQ97" i="4"/>
  <c r="AQ98" i="4"/>
  <c r="AQ99" i="4"/>
  <c r="AN99" i="4" s="1"/>
  <c r="AQ100" i="4"/>
  <c r="AQ101" i="4"/>
  <c r="AQ57" i="4"/>
  <c r="AN57" i="4" s="1"/>
  <c r="AQ87" i="4"/>
  <c r="AQ88" i="4"/>
  <c r="AQ89" i="4"/>
  <c r="AQ75" i="4"/>
  <c r="AQ76" i="4"/>
  <c r="AN76" i="4" s="1"/>
  <c r="AQ77" i="4"/>
  <c r="AQ78" i="4"/>
  <c r="AQ79" i="4"/>
  <c r="AQ80" i="4"/>
  <c r="AQ81" i="4"/>
  <c r="AQ82" i="4"/>
  <c r="AQ83" i="4"/>
  <c r="AQ84" i="4"/>
  <c r="AN84" i="4" s="1"/>
  <c r="AQ104" i="4"/>
  <c r="AQ105" i="4"/>
  <c r="AQ90" i="4"/>
  <c r="AN90" i="4" s="1"/>
  <c r="AQ91" i="4"/>
  <c r="AQ92" i="4"/>
  <c r="AQ93" i="4"/>
  <c r="AQ94" i="4"/>
  <c r="AP26" i="4"/>
  <c r="AM26" i="4" s="1"/>
  <c r="AP15" i="4"/>
  <c r="AP16" i="4"/>
  <c r="AP18" i="4"/>
  <c r="AM18" i="4" s="1"/>
  <c r="AP27" i="4"/>
  <c r="AP20" i="4"/>
  <c r="AM20" i="4" s="1"/>
  <c r="AP19" i="4"/>
  <c r="AP17" i="4"/>
  <c r="AP21" i="4"/>
  <c r="AM21" i="4" s="1"/>
  <c r="AP28" i="4"/>
  <c r="AP58" i="4"/>
  <c r="AP22" i="4"/>
  <c r="AM22" i="4" s="1"/>
  <c r="AP30" i="4"/>
  <c r="AP29" i="4"/>
  <c r="AM29" i="4" s="1"/>
  <c r="AP37" i="4"/>
  <c r="AP60" i="4"/>
  <c r="AP23" i="4"/>
  <c r="AM23" i="4" s="1"/>
  <c r="AP24" i="4"/>
  <c r="AP25" i="4"/>
  <c r="AP33" i="4"/>
  <c r="AM33" i="4" s="1"/>
  <c r="AP31" i="4"/>
  <c r="AP38" i="4"/>
  <c r="AM38" i="4" s="1"/>
  <c r="AP64" i="4"/>
  <c r="AM64" i="4" s="1"/>
  <c r="AP32" i="4"/>
  <c r="AP39" i="4"/>
  <c r="AM39" i="4" s="1"/>
  <c r="AP65" i="4"/>
  <c r="AP66" i="4"/>
  <c r="AP95" i="4"/>
  <c r="AM95" i="4" s="1"/>
  <c r="AP40" i="4"/>
  <c r="AP59" i="4"/>
  <c r="AM59" i="4" s="1"/>
  <c r="AP85" i="4"/>
  <c r="AM85" i="4" s="1"/>
  <c r="AP34" i="4"/>
  <c r="AP35" i="4"/>
  <c r="AM35" i="4" s="1"/>
  <c r="AP36" i="4"/>
  <c r="AP41" i="4"/>
  <c r="AP42" i="4"/>
  <c r="AM42" i="4" s="1"/>
  <c r="AP43" i="4"/>
  <c r="AP61" i="4"/>
  <c r="AM61" i="4" s="1"/>
  <c r="AP62" i="4"/>
  <c r="AP63" i="4"/>
  <c r="AP86" i="4"/>
  <c r="AM86" i="4" s="1"/>
  <c r="AP44" i="4"/>
  <c r="AP45" i="4"/>
  <c r="AP46" i="4"/>
  <c r="AM46" i="4" s="1"/>
  <c r="AP47" i="4"/>
  <c r="AP48" i="4"/>
  <c r="AM48" i="4" s="1"/>
  <c r="AP49" i="4"/>
  <c r="AP50" i="4"/>
  <c r="AP51" i="4"/>
  <c r="AM51" i="4" s="1"/>
  <c r="AP52" i="4"/>
  <c r="AP53" i="4"/>
  <c r="AP54" i="4"/>
  <c r="AM54" i="4" s="1"/>
  <c r="AP55" i="4"/>
  <c r="AP56" i="4"/>
  <c r="AP70" i="4"/>
  <c r="AP71" i="4"/>
  <c r="AP72" i="4"/>
  <c r="AM72" i="4" s="1"/>
  <c r="AP73" i="4"/>
  <c r="AP74" i="4"/>
  <c r="AP67" i="4"/>
  <c r="AM67" i="4" s="1"/>
  <c r="AP68" i="4"/>
  <c r="AP69" i="4"/>
  <c r="AM69" i="4" s="1"/>
  <c r="AP102" i="4"/>
  <c r="AP103" i="4"/>
  <c r="AP96" i="4"/>
  <c r="AM96" i="4" s="1"/>
  <c r="AP97" i="4"/>
  <c r="AP98" i="4"/>
  <c r="AP99" i="4"/>
  <c r="AM99" i="4" s="1"/>
  <c r="AP100" i="4"/>
  <c r="AP101" i="4"/>
  <c r="AM101" i="4" s="1"/>
  <c r="AP57" i="4"/>
  <c r="AM57" i="4" s="1"/>
  <c r="AP87" i="4"/>
  <c r="AP88" i="4"/>
  <c r="AM88" i="4" s="1"/>
  <c r="AP89" i="4"/>
  <c r="AP75" i="4"/>
  <c r="AP76" i="4"/>
  <c r="AM76" i="4" s="1"/>
  <c r="AP77" i="4"/>
  <c r="AP78" i="4"/>
  <c r="AP79" i="4"/>
  <c r="AP80" i="4"/>
  <c r="AP81" i="4"/>
  <c r="AM81" i="4" s="1"/>
  <c r="AP82" i="4"/>
  <c r="AP83" i="4"/>
  <c r="AP84" i="4"/>
  <c r="AM84" i="4" s="1"/>
  <c r="AP104" i="4"/>
  <c r="AP105" i="4"/>
  <c r="AM105" i="4" s="1"/>
  <c r="AP90" i="4"/>
  <c r="AP91" i="4"/>
  <c r="AP92" i="4"/>
  <c r="AP93" i="4"/>
  <c r="AP94" i="4"/>
  <c r="AO15" i="4"/>
  <c r="AO44" i="4"/>
  <c r="AO67" i="4"/>
  <c r="AO23" i="4"/>
  <c r="AO33" i="4"/>
  <c r="AO35" i="4"/>
  <c r="AO36" i="4"/>
  <c r="AO51" i="4"/>
  <c r="AO42" i="4"/>
  <c r="AO52" i="4"/>
  <c r="AO53" i="4"/>
  <c r="AO43" i="4"/>
  <c r="AO41" i="4"/>
  <c r="AO82" i="4"/>
  <c r="AO72" i="4"/>
  <c r="AO97" i="4"/>
  <c r="AO98" i="4"/>
  <c r="AO26" i="4"/>
  <c r="AO38" i="4"/>
  <c r="AO93" i="4"/>
  <c r="AO58" i="4"/>
  <c r="AO86" i="4"/>
  <c r="AN19" i="4"/>
  <c r="AN49" i="4"/>
  <c r="AN70" i="4"/>
  <c r="AN64" i="4"/>
  <c r="AN37" i="4"/>
  <c r="AN85" i="4"/>
  <c r="Z31" i="4"/>
  <c r="Y31" i="4"/>
  <c r="X31" i="4"/>
  <c r="C189" i="3"/>
  <c r="D189" i="3"/>
  <c r="E189" i="3"/>
  <c r="F189" i="3"/>
  <c r="H189" i="3"/>
  <c r="N189" i="3"/>
  <c r="P189" i="3"/>
  <c r="Q189" i="3"/>
  <c r="R189" i="3"/>
  <c r="S189" i="3"/>
  <c r="T189" i="3"/>
  <c r="V189" i="3"/>
  <c r="W189" i="3"/>
  <c r="X189" i="3"/>
  <c r="Y189" i="3"/>
  <c r="AN45" i="4" l="1"/>
  <c r="AN58" i="4"/>
  <c r="AN16" i="4"/>
  <c r="AN83" i="4"/>
  <c r="AN75" i="4"/>
  <c r="AN98" i="4"/>
  <c r="AN74" i="4"/>
  <c r="AN53" i="4"/>
  <c r="AN41" i="4"/>
  <c r="AN66" i="4"/>
  <c r="AN25" i="4"/>
  <c r="AN55" i="4"/>
  <c r="AM94" i="4"/>
  <c r="AM75" i="4"/>
  <c r="AM98" i="4"/>
  <c r="AM74" i="4"/>
  <c r="AM53" i="4"/>
  <c r="AM45" i="4"/>
  <c r="AM41" i="4"/>
  <c r="AM66" i="4"/>
  <c r="AM25" i="4"/>
  <c r="AM58" i="4"/>
  <c r="AK58" i="4" s="1"/>
  <c r="AM16" i="4"/>
  <c r="AK16" i="4" s="1"/>
  <c r="AO88" i="4"/>
  <c r="AN93" i="4"/>
  <c r="AN82" i="4"/>
  <c r="AN89" i="4"/>
  <c r="AN97" i="4"/>
  <c r="AN73" i="4"/>
  <c r="AN52" i="4"/>
  <c r="AK76" i="4"/>
  <c r="AK54" i="4"/>
  <c r="AN103" i="4"/>
  <c r="AN32" i="4"/>
  <c r="AN17" i="4"/>
  <c r="AO94" i="4"/>
  <c r="AO83" i="4"/>
  <c r="AO75" i="4"/>
  <c r="AO74" i="4"/>
  <c r="AO45" i="4"/>
  <c r="AO66" i="4"/>
  <c r="AO25" i="4"/>
  <c r="AO16" i="4"/>
  <c r="AM82" i="4"/>
  <c r="AM89" i="4"/>
  <c r="AM97" i="4"/>
  <c r="AM73" i="4"/>
  <c r="AK73" i="4" s="1"/>
  <c r="AM52" i="4"/>
  <c r="AM44" i="4"/>
  <c r="AK44" i="4" s="1"/>
  <c r="AM36" i="4"/>
  <c r="AM65" i="4"/>
  <c r="AK65" i="4" s="1"/>
  <c r="AM24" i="4"/>
  <c r="AK24" i="4" s="1"/>
  <c r="AM28" i="4"/>
  <c r="AM15" i="4"/>
  <c r="AK15" i="4" s="1"/>
  <c r="AM37" i="4"/>
  <c r="AK37" i="4" s="1"/>
  <c r="AM19" i="4"/>
  <c r="AK19" i="4" s="1"/>
  <c r="AM100" i="4"/>
  <c r="AM68" i="4"/>
  <c r="AM40" i="4"/>
  <c r="AM31" i="4"/>
  <c r="AM30" i="4"/>
  <c r="AM27" i="4"/>
  <c r="AN91" i="4"/>
  <c r="AN80" i="4"/>
  <c r="AN87" i="4"/>
  <c r="AN71" i="4"/>
  <c r="O189" i="3"/>
  <c r="AK75" i="4"/>
  <c r="AM93" i="4"/>
  <c r="AN100" i="4"/>
  <c r="AN68" i="4"/>
  <c r="AN47" i="4"/>
  <c r="AN43" i="4"/>
  <c r="AN40" i="4"/>
  <c r="AN31" i="4"/>
  <c r="AN30" i="4"/>
  <c r="AN27" i="4"/>
  <c r="AK33" i="4"/>
  <c r="AM92" i="4"/>
  <c r="AM50" i="4"/>
  <c r="AN94" i="4"/>
  <c r="AO78" i="4"/>
  <c r="AO56" i="4"/>
  <c r="AO48" i="4"/>
  <c r="AO59" i="4"/>
  <c r="AO29" i="4"/>
  <c r="AO20" i="4"/>
  <c r="AM90" i="4"/>
  <c r="AK90" i="4" s="1"/>
  <c r="AM79" i="4"/>
  <c r="AM102" i="4"/>
  <c r="AK102" i="4" s="1"/>
  <c r="AM70" i="4"/>
  <c r="AK70" i="4" s="1"/>
  <c r="AM49" i="4"/>
  <c r="AK49" i="4" s="1"/>
  <c r="AM62" i="4"/>
  <c r="AK62" i="4" s="1"/>
  <c r="AO68" i="4"/>
  <c r="AO55" i="4"/>
  <c r="AM78" i="4"/>
  <c r="AM56" i="4"/>
  <c r="AN81" i="4"/>
  <c r="AK81" i="4" s="1"/>
  <c r="AN88" i="4"/>
  <c r="AK88" i="4" s="1"/>
  <c r="AN96" i="4"/>
  <c r="AN72" i="4"/>
  <c r="AK72" i="4" s="1"/>
  <c r="AN51" i="4"/>
  <c r="AK51" i="4" s="1"/>
  <c r="AN86" i="4"/>
  <c r="AK86" i="4" s="1"/>
  <c r="AN35" i="4"/>
  <c r="AK35" i="4" s="1"/>
  <c r="AN39" i="4"/>
  <c r="AK39" i="4" s="1"/>
  <c r="AN23" i="4"/>
  <c r="AK23" i="4" s="1"/>
  <c r="AN26" i="4"/>
  <c r="AK26" i="4" s="1"/>
  <c r="AN50" i="4"/>
  <c r="AN63" i="4"/>
  <c r="AN34" i="4"/>
  <c r="AN60" i="4"/>
  <c r="AN79" i="4"/>
  <c r="AN104" i="4"/>
  <c r="AN77" i="4"/>
  <c r="AO50" i="4"/>
  <c r="AO63" i="4"/>
  <c r="AO34" i="4"/>
  <c r="AO32" i="4"/>
  <c r="AO60" i="4"/>
  <c r="AO17" i="4"/>
  <c r="AM83" i="4"/>
  <c r="AK83" i="4" s="1"/>
  <c r="AN48" i="4"/>
  <c r="AK48" i="4" s="1"/>
  <c r="AN38" i="4"/>
  <c r="AK38" i="4" s="1"/>
  <c r="AN29" i="4"/>
  <c r="AK29" i="4" s="1"/>
  <c r="AO105" i="4"/>
  <c r="AO101" i="4"/>
  <c r="AO69" i="4"/>
  <c r="AO92" i="4"/>
  <c r="AO91" i="4"/>
  <c r="AO80" i="4"/>
  <c r="AO87" i="4"/>
  <c r="AO103" i="4"/>
  <c r="AO71" i="4"/>
  <c r="AN105" i="4"/>
  <c r="AK105" i="4" s="1"/>
  <c r="AN78" i="4"/>
  <c r="AN101" i="4"/>
  <c r="AK101" i="4" s="1"/>
  <c r="AN69" i="4"/>
  <c r="AK69" i="4" s="1"/>
  <c r="AN56" i="4"/>
  <c r="AN61" i="4"/>
  <c r="AK61" i="4" s="1"/>
  <c r="AN59" i="4"/>
  <c r="AK59" i="4" s="1"/>
  <c r="AN20" i="4"/>
  <c r="AK20" i="4" s="1"/>
  <c r="AK95" i="4"/>
  <c r="AK42" i="4"/>
  <c r="AK36" i="4"/>
  <c r="AK57" i="4"/>
  <c r="AN92" i="4"/>
  <c r="AK99" i="4"/>
  <c r="AK45" i="4"/>
  <c r="AM104" i="4"/>
  <c r="AM77" i="4"/>
  <c r="AM55" i="4"/>
  <c r="AM47" i="4"/>
  <c r="AM43" i="4"/>
  <c r="AM91" i="4"/>
  <c r="AM80" i="4"/>
  <c r="AM87" i="4"/>
  <c r="AM103" i="4"/>
  <c r="AM71" i="4"/>
  <c r="AK71" i="4" s="1"/>
  <c r="AM63" i="4"/>
  <c r="AK63" i="4" s="1"/>
  <c r="AM34" i="4"/>
  <c r="AM32" i="4"/>
  <c r="AK32" i="4" s="1"/>
  <c r="AM60" i="4"/>
  <c r="AM17" i="4"/>
  <c r="AK64" i="4"/>
  <c r="AK84" i="4"/>
  <c r="AK28" i="4"/>
  <c r="AK22" i="4"/>
  <c r="AK21" i="4"/>
  <c r="AK27" i="4"/>
  <c r="AK18" i="4"/>
  <c r="AK67" i="4"/>
  <c r="AK96" i="4"/>
  <c r="AK46" i="4"/>
  <c r="AK85" i="4"/>
  <c r="AO73" i="4"/>
  <c r="AO40" i="4"/>
  <c r="AO28" i="4"/>
  <c r="AO39" i="4"/>
  <c r="AO31" i="4"/>
  <c r="AO47" i="4"/>
  <c r="AO21" i="4"/>
  <c r="M189" i="3"/>
  <c r="AF2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V41" i="1"/>
  <c r="D37" i="1"/>
  <c r="I37" i="1"/>
  <c r="J37" i="1"/>
  <c r="N37" i="1"/>
  <c r="O37" i="1"/>
  <c r="P37" i="1"/>
  <c r="Q37" i="1"/>
  <c r="R37" i="1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W30" i="4"/>
  <c r="W29" i="4"/>
  <c r="W28" i="4"/>
  <c r="W27" i="4"/>
  <c r="W26" i="4"/>
  <c r="W25" i="4"/>
  <c r="W24" i="4"/>
  <c r="W23" i="4"/>
  <c r="W22" i="4"/>
  <c r="W21" i="4"/>
  <c r="W20" i="4"/>
  <c r="W19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AK98" i="4" l="1"/>
  <c r="AK74" i="4"/>
  <c r="AK66" i="4"/>
  <c r="AK53" i="4"/>
  <c r="AK89" i="4"/>
  <c r="AK41" i="4"/>
  <c r="AK100" i="4"/>
  <c r="AK93" i="4"/>
  <c r="AK25" i="4"/>
  <c r="AK87" i="4"/>
  <c r="AK50" i="4"/>
  <c r="AK68" i="4"/>
  <c r="AK82" i="4"/>
  <c r="AK55" i="4"/>
  <c r="AK97" i="4"/>
  <c r="AK103" i="4"/>
  <c r="AK52" i="4"/>
  <c r="AK91" i="4"/>
  <c r="AK94" i="4"/>
  <c r="AK77" i="4"/>
  <c r="AK43" i="4"/>
  <c r="AK92" i="4"/>
  <c r="AK17" i="4"/>
  <c r="AK40" i="4"/>
  <c r="AK31" i="4"/>
  <c r="AK80" i="4"/>
  <c r="AK104" i="4"/>
  <c r="AK56" i="4"/>
  <c r="AK30" i="4"/>
  <c r="AK47" i="4"/>
  <c r="AK79" i="4"/>
  <c r="AK78" i="4"/>
  <c r="AK60" i="4"/>
  <c r="AK34" i="4"/>
  <c r="L37" i="1"/>
  <c r="I189" i="3" s="1"/>
  <c r="G189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3" i="3"/>
  <c r="Y44" i="3"/>
  <c r="Y42" i="3"/>
  <c r="Y46" i="3"/>
  <c r="Y45" i="3"/>
  <c r="Y47" i="3"/>
  <c r="Y48" i="3"/>
  <c r="Y49" i="3"/>
  <c r="Y50" i="3"/>
  <c r="Y52" i="3"/>
  <c r="Y53" i="3"/>
  <c r="Y54" i="3"/>
  <c r="Y55" i="3"/>
  <c r="Y56" i="3"/>
  <c r="Y57" i="3"/>
  <c r="Y51" i="3"/>
  <c r="Y58" i="3"/>
  <c r="Y59" i="3"/>
  <c r="Y60" i="3"/>
  <c r="Y61" i="3"/>
  <c r="Y62" i="3"/>
  <c r="Y64" i="3"/>
  <c r="Y65" i="3"/>
  <c r="Y66" i="3"/>
  <c r="Y63" i="3"/>
  <c r="Y67" i="3"/>
  <c r="Y68" i="3"/>
  <c r="Y69" i="3"/>
  <c r="Y71" i="3"/>
  <c r="Y72" i="3"/>
  <c r="Y70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1" i="3"/>
  <c r="Y102" i="3"/>
  <c r="Y103" i="3"/>
  <c r="Y100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8" i="3"/>
  <c r="Y119" i="3"/>
  <c r="Y122" i="3"/>
  <c r="Y123" i="3"/>
  <c r="Y124" i="3"/>
  <c r="Y117" i="3"/>
  <c r="Y125" i="3"/>
  <c r="Y126" i="3"/>
  <c r="Y127" i="3"/>
  <c r="Y128" i="3"/>
  <c r="Y129" i="3"/>
  <c r="Y120" i="3"/>
  <c r="Y121" i="3"/>
  <c r="Y130" i="3"/>
  <c r="Y131" i="3"/>
  <c r="Y132" i="3"/>
  <c r="Y133" i="3"/>
  <c r="Y134" i="3"/>
  <c r="Y136" i="3"/>
  <c r="Y137" i="3"/>
  <c r="Y138" i="3"/>
  <c r="Y139" i="3"/>
  <c r="Y140" i="3"/>
  <c r="Y141" i="3"/>
  <c r="Y142" i="3"/>
  <c r="Y135" i="3"/>
  <c r="Y144" i="3"/>
  <c r="Y145" i="3"/>
  <c r="Y146" i="3"/>
  <c r="Y147" i="3"/>
  <c r="Y148" i="3"/>
  <c r="Y149" i="3"/>
  <c r="Y150" i="3"/>
  <c r="Y151" i="3"/>
  <c r="Y152" i="3"/>
  <c r="Y143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55" i="3"/>
  <c r="Y170" i="3"/>
  <c r="Y171" i="3"/>
  <c r="Y172" i="3"/>
  <c r="Y173" i="3"/>
  <c r="Y174" i="3"/>
  <c r="Y175" i="3"/>
  <c r="Y176" i="3"/>
  <c r="Y177" i="3"/>
  <c r="Y178" i="3"/>
  <c r="Y153" i="3"/>
  <c r="Y154" i="3"/>
  <c r="Y180" i="3"/>
  <c r="Y181" i="3"/>
  <c r="Y182" i="3"/>
  <c r="Y183" i="3"/>
  <c r="Y184" i="3"/>
  <c r="Y185" i="3"/>
  <c r="Y186" i="3"/>
  <c r="Y187" i="3"/>
  <c r="Y179" i="3"/>
  <c r="Y188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3" i="3"/>
  <c r="X44" i="3"/>
  <c r="X42" i="3"/>
  <c r="X46" i="3"/>
  <c r="X45" i="3"/>
  <c r="X47" i="3"/>
  <c r="X48" i="3"/>
  <c r="X49" i="3"/>
  <c r="X50" i="3"/>
  <c r="X52" i="3"/>
  <c r="X53" i="3"/>
  <c r="X54" i="3"/>
  <c r="X55" i="3"/>
  <c r="X56" i="3"/>
  <c r="X57" i="3"/>
  <c r="X51" i="3"/>
  <c r="X58" i="3"/>
  <c r="X59" i="3"/>
  <c r="X60" i="3"/>
  <c r="X61" i="3"/>
  <c r="X62" i="3"/>
  <c r="X64" i="3"/>
  <c r="X65" i="3"/>
  <c r="X66" i="3"/>
  <c r="X63" i="3"/>
  <c r="X67" i="3"/>
  <c r="X68" i="3"/>
  <c r="X69" i="3"/>
  <c r="X71" i="3"/>
  <c r="X72" i="3"/>
  <c r="X70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1" i="3"/>
  <c r="X102" i="3"/>
  <c r="X103" i="3"/>
  <c r="X100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8" i="3"/>
  <c r="X119" i="3"/>
  <c r="X122" i="3"/>
  <c r="X123" i="3"/>
  <c r="X124" i="3"/>
  <c r="X117" i="3"/>
  <c r="X125" i="3"/>
  <c r="X126" i="3"/>
  <c r="X127" i="3"/>
  <c r="X128" i="3"/>
  <c r="X129" i="3"/>
  <c r="X120" i="3"/>
  <c r="X121" i="3"/>
  <c r="X130" i="3"/>
  <c r="X131" i="3"/>
  <c r="X132" i="3"/>
  <c r="X133" i="3"/>
  <c r="X134" i="3"/>
  <c r="X136" i="3"/>
  <c r="X137" i="3"/>
  <c r="X138" i="3"/>
  <c r="X139" i="3"/>
  <c r="X140" i="3"/>
  <c r="X141" i="3"/>
  <c r="X142" i="3"/>
  <c r="X135" i="3"/>
  <c r="X144" i="3"/>
  <c r="X145" i="3"/>
  <c r="X146" i="3"/>
  <c r="X147" i="3"/>
  <c r="X148" i="3"/>
  <c r="X149" i="3"/>
  <c r="X150" i="3"/>
  <c r="X151" i="3"/>
  <c r="X152" i="3"/>
  <c r="X143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55" i="3"/>
  <c r="X170" i="3"/>
  <c r="X171" i="3"/>
  <c r="X172" i="3"/>
  <c r="X173" i="3"/>
  <c r="X174" i="3"/>
  <c r="X175" i="3"/>
  <c r="X176" i="3"/>
  <c r="X177" i="3"/>
  <c r="X178" i="3"/>
  <c r="X153" i="3"/>
  <c r="X154" i="3"/>
  <c r="X180" i="3"/>
  <c r="X181" i="3"/>
  <c r="X182" i="3"/>
  <c r="X183" i="3"/>
  <c r="X184" i="3"/>
  <c r="X185" i="3"/>
  <c r="X186" i="3"/>
  <c r="X187" i="3"/>
  <c r="X179" i="3"/>
  <c r="X188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3" i="3"/>
  <c r="W44" i="3"/>
  <c r="W42" i="3"/>
  <c r="W46" i="3"/>
  <c r="W45" i="3"/>
  <c r="W47" i="3"/>
  <c r="W48" i="3"/>
  <c r="W49" i="3"/>
  <c r="W50" i="3"/>
  <c r="W52" i="3"/>
  <c r="W53" i="3"/>
  <c r="W54" i="3"/>
  <c r="W55" i="3"/>
  <c r="W56" i="3"/>
  <c r="W57" i="3"/>
  <c r="W51" i="3"/>
  <c r="W58" i="3"/>
  <c r="W59" i="3"/>
  <c r="W60" i="3"/>
  <c r="W61" i="3"/>
  <c r="W62" i="3"/>
  <c r="W64" i="3"/>
  <c r="W65" i="3"/>
  <c r="W66" i="3"/>
  <c r="W63" i="3"/>
  <c r="W67" i="3"/>
  <c r="W68" i="3"/>
  <c r="W69" i="3"/>
  <c r="W71" i="3"/>
  <c r="W72" i="3"/>
  <c r="W70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1" i="3"/>
  <c r="W102" i="3"/>
  <c r="W103" i="3"/>
  <c r="W100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8" i="3"/>
  <c r="W119" i="3"/>
  <c r="W122" i="3"/>
  <c r="W123" i="3"/>
  <c r="W124" i="3"/>
  <c r="W117" i="3"/>
  <c r="W125" i="3"/>
  <c r="W126" i="3"/>
  <c r="W127" i="3"/>
  <c r="W128" i="3"/>
  <c r="W129" i="3"/>
  <c r="W120" i="3"/>
  <c r="W121" i="3"/>
  <c r="W130" i="3"/>
  <c r="W131" i="3"/>
  <c r="W132" i="3"/>
  <c r="W133" i="3"/>
  <c r="W134" i="3"/>
  <c r="W136" i="3"/>
  <c r="W137" i="3"/>
  <c r="W138" i="3"/>
  <c r="W139" i="3"/>
  <c r="W140" i="3"/>
  <c r="W141" i="3"/>
  <c r="W142" i="3"/>
  <c r="W135" i="3"/>
  <c r="W144" i="3"/>
  <c r="W145" i="3"/>
  <c r="W146" i="3"/>
  <c r="W147" i="3"/>
  <c r="W148" i="3"/>
  <c r="W149" i="3"/>
  <c r="W150" i="3"/>
  <c r="W151" i="3"/>
  <c r="W152" i="3"/>
  <c r="W143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55" i="3"/>
  <c r="W170" i="3"/>
  <c r="W171" i="3"/>
  <c r="W172" i="3"/>
  <c r="W173" i="3"/>
  <c r="W174" i="3"/>
  <c r="W175" i="3"/>
  <c r="W176" i="3"/>
  <c r="W177" i="3"/>
  <c r="W178" i="3"/>
  <c r="W153" i="3"/>
  <c r="W154" i="3"/>
  <c r="W180" i="3"/>
  <c r="W181" i="3"/>
  <c r="W182" i="3"/>
  <c r="W183" i="3"/>
  <c r="W184" i="3"/>
  <c r="W185" i="3"/>
  <c r="W186" i="3"/>
  <c r="W187" i="3"/>
  <c r="W179" i="3"/>
  <c r="W188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3" i="3"/>
  <c r="V44" i="3"/>
  <c r="V42" i="3"/>
  <c r="V46" i="3"/>
  <c r="V45" i="3"/>
  <c r="V47" i="3"/>
  <c r="V48" i="3"/>
  <c r="V49" i="3"/>
  <c r="V50" i="3"/>
  <c r="V52" i="3"/>
  <c r="V53" i="3"/>
  <c r="V54" i="3"/>
  <c r="V55" i="3"/>
  <c r="V56" i="3"/>
  <c r="V57" i="3"/>
  <c r="V51" i="3"/>
  <c r="V58" i="3"/>
  <c r="V59" i="3"/>
  <c r="V60" i="3"/>
  <c r="V61" i="3"/>
  <c r="V62" i="3"/>
  <c r="V64" i="3"/>
  <c r="V65" i="3"/>
  <c r="V66" i="3"/>
  <c r="V63" i="3"/>
  <c r="V67" i="3"/>
  <c r="V68" i="3"/>
  <c r="V69" i="3"/>
  <c r="V71" i="3"/>
  <c r="V72" i="3"/>
  <c r="V70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1" i="3"/>
  <c r="V102" i="3"/>
  <c r="V103" i="3"/>
  <c r="V100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8" i="3"/>
  <c r="V119" i="3"/>
  <c r="V122" i="3"/>
  <c r="V123" i="3"/>
  <c r="V124" i="3"/>
  <c r="V117" i="3"/>
  <c r="V125" i="3"/>
  <c r="V126" i="3"/>
  <c r="V127" i="3"/>
  <c r="V128" i="3"/>
  <c r="V129" i="3"/>
  <c r="V120" i="3"/>
  <c r="V121" i="3"/>
  <c r="V130" i="3"/>
  <c r="V131" i="3"/>
  <c r="V132" i="3"/>
  <c r="V133" i="3"/>
  <c r="V134" i="3"/>
  <c r="V136" i="3"/>
  <c r="V137" i="3"/>
  <c r="V138" i="3"/>
  <c r="V139" i="3"/>
  <c r="V140" i="3"/>
  <c r="V141" i="3"/>
  <c r="V142" i="3"/>
  <c r="V135" i="3"/>
  <c r="V144" i="3"/>
  <c r="V145" i="3"/>
  <c r="V146" i="3"/>
  <c r="V147" i="3"/>
  <c r="V148" i="3"/>
  <c r="V149" i="3"/>
  <c r="V150" i="3"/>
  <c r="V151" i="3"/>
  <c r="V152" i="3"/>
  <c r="V143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55" i="3"/>
  <c r="V170" i="3"/>
  <c r="V171" i="3"/>
  <c r="V172" i="3"/>
  <c r="V173" i="3"/>
  <c r="V174" i="3"/>
  <c r="V175" i="3"/>
  <c r="V176" i="3"/>
  <c r="V177" i="3"/>
  <c r="V178" i="3"/>
  <c r="V153" i="3"/>
  <c r="V154" i="3"/>
  <c r="V180" i="3"/>
  <c r="V181" i="3"/>
  <c r="V182" i="3"/>
  <c r="V183" i="3"/>
  <c r="V184" i="3"/>
  <c r="V185" i="3"/>
  <c r="V186" i="3"/>
  <c r="V187" i="3"/>
  <c r="V179" i="3"/>
  <c r="V188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3" i="3"/>
  <c r="T44" i="3"/>
  <c r="T42" i="3"/>
  <c r="T46" i="3"/>
  <c r="T45" i="3"/>
  <c r="T47" i="3"/>
  <c r="T48" i="3"/>
  <c r="T49" i="3"/>
  <c r="T50" i="3"/>
  <c r="T52" i="3"/>
  <c r="T53" i="3"/>
  <c r="T54" i="3"/>
  <c r="T55" i="3"/>
  <c r="T56" i="3"/>
  <c r="T57" i="3"/>
  <c r="T51" i="3"/>
  <c r="T58" i="3"/>
  <c r="T59" i="3"/>
  <c r="T60" i="3"/>
  <c r="T61" i="3"/>
  <c r="T62" i="3"/>
  <c r="T64" i="3"/>
  <c r="T65" i="3"/>
  <c r="T66" i="3"/>
  <c r="T63" i="3"/>
  <c r="T67" i="3"/>
  <c r="T68" i="3"/>
  <c r="T69" i="3"/>
  <c r="T71" i="3"/>
  <c r="T72" i="3"/>
  <c r="T70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1" i="3"/>
  <c r="T102" i="3"/>
  <c r="T103" i="3"/>
  <c r="T100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8" i="3"/>
  <c r="T119" i="3"/>
  <c r="T122" i="3"/>
  <c r="T123" i="3"/>
  <c r="T124" i="3"/>
  <c r="T117" i="3"/>
  <c r="T125" i="3"/>
  <c r="T126" i="3"/>
  <c r="T127" i="3"/>
  <c r="T128" i="3"/>
  <c r="T129" i="3"/>
  <c r="T120" i="3"/>
  <c r="T121" i="3"/>
  <c r="T130" i="3"/>
  <c r="T131" i="3"/>
  <c r="T132" i="3"/>
  <c r="T133" i="3"/>
  <c r="T134" i="3"/>
  <c r="T136" i="3"/>
  <c r="T137" i="3"/>
  <c r="T138" i="3"/>
  <c r="T139" i="3"/>
  <c r="T140" i="3"/>
  <c r="T141" i="3"/>
  <c r="T142" i="3"/>
  <c r="T135" i="3"/>
  <c r="T144" i="3"/>
  <c r="T145" i="3"/>
  <c r="T146" i="3"/>
  <c r="T147" i="3"/>
  <c r="T148" i="3"/>
  <c r="T149" i="3"/>
  <c r="T150" i="3"/>
  <c r="T151" i="3"/>
  <c r="T152" i="3"/>
  <c r="T143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55" i="3"/>
  <c r="T170" i="3"/>
  <c r="T171" i="3"/>
  <c r="T172" i="3"/>
  <c r="T173" i="3"/>
  <c r="T174" i="3"/>
  <c r="T175" i="3"/>
  <c r="T176" i="3"/>
  <c r="T177" i="3"/>
  <c r="T178" i="3"/>
  <c r="T153" i="3"/>
  <c r="T154" i="3"/>
  <c r="T180" i="3"/>
  <c r="T181" i="3"/>
  <c r="T182" i="3"/>
  <c r="T183" i="3"/>
  <c r="T184" i="3"/>
  <c r="T185" i="3"/>
  <c r="T186" i="3"/>
  <c r="T187" i="3"/>
  <c r="T179" i="3"/>
  <c r="T188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3" i="3"/>
  <c r="S44" i="3"/>
  <c r="S42" i="3"/>
  <c r="S46" i="3"/>
  <c r="S45" i="3"/>
  <c r="S47" i="3"/>
  <c r="S48" i="3"/>
  <c r="S49" i="3"/>
  <c r="S50" i="3"/>
  <c r="S52" i="3"/>
  <c r="S53" i="3"/>
  <c r="S54" i="3"/>
  <c r="S55" i="3"/>
  <c r="S56" i="3"/>
  <c r="S57" i="3"/>
  <c r="S51" i="3"/>
  <c r="S58" i="3"/>
  <c r="S59" i="3"/>
  <c r="S60" i="3"/>
  <c r="S61" i="3"/>
  <c r="S62" i="3"/>
  <c r="S64" i="3"/>
  <c r="S65" i="3"/>
  <c r="S66" i="3"/>
  <c r="S63" i="3"/>
  <c r="S67" i="3"/>
  <c r="S68" i="3"/>
  <c r="S69" i="3"/>
  <c r="S71" i="3"/>
  <c r="S72" i="3"/>
  <c r="S70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1" i="3"/>
  <c r="S102" i="3"/>
  <c r="S103" i="3"/>
  <c r="S100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8" i="3"/>
  <c r="S119" i="3"/>
  <c r="S122" i="3"/>
  <c r="S123" i="3"/>
  <c r="S124" i="3"/>
  <c r="S117" i="3"/>
  <c r="S125" i="3"/>
  <c r="S126" i="3"/>
  <c r="S127" i="3"/>
  <c r="S128" i="3"/>
  <c r="S129" i="3"/>
  <c r="S120" i="3"/>
  <c r="S121" i="3"/>
  <c r="S130" i="3"/>
  <c r="S131" i="3"/>
  <c r="S132" i="3"/>
  <c r="S133" i="3"/>
  <c r="S134" i="3"/>
  <c r="S136" i="3"/>
  <c r="S137" i="3"/>
  <c r="S138" i="3"/>
  <c r="S139" i="3"/>
  <c r="S140" i="3"/>
  <c r="S141" i="3"/>
  <c r="S142" i="3"/>
  <c r="S135" i="3"/>
  <c r="S144" i="3"/>
  <c r="S145" i="3"/>
  <c r="S146" i="3"/>
  <c r="S147" i="3"/>
  <c r="S148" i="3"/>
  <c r="S149" i="3"/>
  <c r="S150" i="3"/>
  <c r="S151" i="3"/>
  <c r="S152" i="3"/>
  <c r="S143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55" i="3"/>
  <c r="S170" i="3"/>
  <c r="S171" i="3"/>
  <c r="S172" i="3"/>
  <c r="S173" i="3"/>
  <c r="S174" i="3"/>
  <c r="S175" i="3"/>
  <c r="S176" i="3"/>
  <c r="S177" i="3"/>
  <c r="S178" i="3"/>
  <c r="S153" i="3"/>
  <c r="S154" i="3"/>
  <c r="S180" i="3"/>
  <c r="S181" i="3"/>
  <c r="S182" i="3"/>
  <c r="S183" i="3"/>
  <c r="S184" i="3"/>
  <c r="S185" i="3"/>
  <c r="S186" i="3"/>
  <c r="S187" i="3"/>
  <c r="S179" i="3"/>
  <c r="S188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3" i="3"/>
  <c r="R44" i="3"/>
  <c r="R42" i="3"/>
  <c r="R46" i="3"/>
  <c r="R45" i="3"/>
  <c r="R47" i="3"/>
  <c r="R48" i="3"/>
  <c r="R49" i="3"/>
  <c r="R50" i="3"/>
  <c r="R52" i="3"/>
  <c r="R53" i="3"/>
  <c r="R54" i="3"/>
  <c r="R55" i="3"/>
  <c r="R56" i="3"/>
  <c r="R57" i="3"/>
  <c r="R51" i="3"/>
  <c r="R58" i="3"/>
  <c r="R59" i="3"/>
  <c r="R60" i="3"/>
  <c r="R61" i="3"/>
  <c r="R62" i="3"/>
  <c r="R64" i="3"/>
  <c r="R65" i="3"/>
  <c r="R66" i="3"/>
  <c r="R63" i="3"/>
  <c r="R67" i="3"/>
  <c r="R68" i="3"/>
  <c r="R69" i="3"/>
  <c r="R71" i="3"/>
  <c r="R72" i="3"/>
  <c r="R70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1" i="3"/>
  <c r="R102" i="3"/>
  <c r="R103" i="3"/>
  <c r="R100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8" i="3"/>
  <c r="R119" i="3"/>
  <c r="R122" i="3"/>
  <c r="R123" i="3"/>
  <c r="R124" i="3"/>
  <c r="R117" i="3"/>
  <c r="R125" i="3"/>
  <c r="R126" i="3"/>
  <c r="R127" i="3"/>
  <c r="R128" i="3"/>
  <c r="R129" i="3"/>
  <c r="R120" i="3"/>
  <c r="R121" i="3"/>
  <c r="R130" i="3"/>
  <c r="R131" i="3"/>
  <c r="R132" i="3"/>
  <c r="R133" i="3"/>
  <c r="R134" i="3"/>
  <c r="R136" i="3"/>
  <c r="R137" i="3"/>
  <c r="R138" i="3"/>
  <c r="R139" i="3"/>
  <c r="R140" i="3"/>
  <c r="R141" i="3"/>
  <c r="R142" i="3"/>
  <c r="R135" i="3"/>
  <c r="R144" i="3"/>
  <c r="R145" i="3"/>
  <c r="R146" i="3"/>
  <c r="R147" i="3"/>
  <c r="R148" i="3"/>
  <c r="R149" i="3"/>
  <c r="R150" i="3"/>
  <c r="R151" i="3"/>
  <c r="R152" i="3"/>
  <c r="R143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55" i="3"/>
  <c r="R170" i="3"/>
  <c r="R171" i="3"/>
  <c r="R172" i="3"/>
  <c r="R173" i="3"/>
  <c r="R174" i="3"/>
  <c r="R175" i="3"/>
  <c r="R176" i="3"/>
  <c r="R177" i="3"/>
  <c r="R178" i="3"/>
  <c r="R153" i="3"/>
  <c r="R154" i="3"/>
  <c r="R180" i="3"/>
  <c r="R181" i="3"/>
  <c r="R182" i="3"/>
  <c r="R183" i="3"/>
  <c r="R184" i="3"/>
  <c r="R185" i="3"/>
  <c r="R186" i="3"/>
  <c r="R187" i="3"/>
  <c r="R179" i="3"/>
  <c r="R188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3" i="3"/>
  <c r="Q44" i="3"/>
  <c r="Q42" i="3"/>
  <c r="Q46" i="3"/>
  <c r="Q45" i="3"/>
  <c r="Q47" i="3"/>
  <c r="Q48" i="3"/>
  <c r="Q49" i="3"/>
  <c r="Q50" i="3"/>
  <c r="Q52" i="3"/>
  <c r="Q53" i="3"/>
  <c r="Q54" i="3"/>
  <c r="Q55" i="3"/>
  <c r="Q56" i="3"/>
  <c r="Q57" i="3"/>
  <c r="Q51" i="3"/>
  <c r="Q58" i="3"/>
  <c r="Q59" i="3"/>
  <c r="Q60" i="3"/>
  <c r="Q61" i="3"/>
  <c r="Q62" i="3"/>
  <c r="Q64" i="3"/>
  <c r="Q65" i="3"/>
  <c r="Q66" i="3"/>
  <c r="Q63" i="3"/>
  <c r="Q67" i="3"/>
  <c r="Q68" i="3"/>
  <c r="Q69" i="3"/>
  <c r="Q71" i="3"/>
  <c r="Q72" i="3"/>
  <c r="Q70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1" i="3"/>
  <c r="Q102" i="3"/>
  <c r="Q103" i="3"/>
  <c r="Q100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8" i="3"/>
  <c r="Q119" i="3"/>
  <c r="Q122" i="3"/>
  <c r="Q123" i="3"/>
  <c r="Q124" i="3"/>
  <c r="Q117" i="3"/>
  <c r="Q125" i="3"/>
  <c r="Q126" i="3"/>
  <c r="Q127" i="3"/>
  <c r="Q128" i="3"/>
  <c r="Q129" i="3"/>
  <c r="Q120" i="3"/>
  <c r="Q121" i="3"/>
  <c r="Q130" i="3"/>
  <c r="Q131" i="3"/>
  <c r="Q132" i="3"/>
  <c r="Q133" i="3"/>
  <c r="Q134" i="3"/>
  <c r="Q136" i="3"/>
  <c r="Q137" i="3"/>
  <c r="Q138" i="3"/>
  <c r="Q139" i="3"/>
  <c r="Q140" i="3"/>
  <c r="Q141" i="3"/>
  <c r="Q142" i="3"/>
  <c r="Q135" i="3"/>
  <c r="Q144" i="3"/>
  <c r="Q145" i="3"/>
  <c r="Q146" i="3"/>
  <c r="Q147" i="3"/>
  <c r="Q148" i="3"/>
  <c r="Q149" i="3"/>
  <c r="Q150" i="3"/>
  <c r="Q151" i="3"/>
  <c r="Q152" i="3"/>
  <c r="Q143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55" i="3"/>
  <c r="Q170" i="3"/>
  <c r="Q171" i="3"/>
  <c r="Q172" i="3"/>
  <c r="Q173" i="3"/>
  <c r="Q174" i="3"/>
  <c r="Q175" i="3"/>
  <c r="Q176" i="3"/>
  <c r="Q177" i="3"/>
  <c r="Q178" i="3"/>
  <c r="Q153" i="3"/>
  <c r="Q154" i="3"/>
  <c r="Q180" i="3"/>
  <c r="Q181" i="3"/>
  <c r="Q182" i="3"/>
  <c r="Q183" i="3"/>
  <c r="Q184" i="3"/>
  <c r="Q185" i="3"/>
  <c r="Q186" i="3"/>
  <c r="Q187" i="3"/>
  <c r="Q179" i="3"/>
  <c r="Q188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AF90" i="4"/>
  <c r="AL90" i="4" s="1"/>
  <c r="AF94" i="4"/>
  <c r="AL94" i="4" s="1"/>
  <c r="AF91" i="4"/>
  <c r="AL91" i="4" s="1"/>
  <c r="AF93" i="4"/>
  <c r="AL93" i="4" s="1"/>
  <c r="AF105" i="4"/>
  <c r="AL105" i="4" s="1"/>
  <c r="AF84" i="4"/>
  <c r="AL84" i="4" s="1"/>
  <c r="AF57" i="4"/>
  <c r="AL57" i="4" s="1"/>
  <c r="AF76" i="4"/>
  <c r="AL76" i="4" s="1"/>
  <c r="AF75" i="4"/>
  <c r="AL75" i="4" s="1"/>
  <c r="AF83" i="4"/>
  <c r="AL83" i="4" s="1"/>
  <c r="AF96" i="4"/>
  <c r="AL96" i="4" s="1"/>
  <c r="AH90" i="4"/>
  <c r="AH94" i="4"/>
  <c r="AH91" i="4"/>
  <c r="AH93" i="4"/>
  <c r="AH105" i="4"/>
  <c r="AH84" i="4"/>
  <c r="AH57" i="4"/>
  <c r="AH76" i="4"/>
  <c r="AH75" i="4"/>
  <c r="AH83" i="4"/>
  <c r="AH96" i="4"/>
  <c r="AI90" i="4"/>
  <c r="AI94" i="4"/>
  <c r="AI91" i="4"/>
  <c r="AI93" i="4"/>
  <c r="AI105" i="4"/>
  <c r="AI84" i="4"/>
  <c r="AI57" i="4"/>
  <c r="AI76" i="4"/>
  <c r="AI75" i="4"/>
  <c r="AI83" i="4"/>
  <c r="AI96" i="4"/>
  <c r="Q30" i="20"/>
  <c r="Q31" i="20"/>
  <c r="Q32" i="20"/>
  <c r="Q16" i="20"/>
  <c r="Q33" i="20"/>
  <c r="Q34" i="20"/>
  <c r="Q20" i="20"/>
  <c r="Q35" i="20"/>
  <c r="Q36" i="20"/>
  <c r="Q37" i="20"/>
  <c r="Q38" i="20"/>
  <c r="Q39" i="20"/>
  <c r="Q15" i="20"/>
  <c r="Q21" i="20"/>
  <c r="Q22" i="20"/>
  <c r="Q40" i="20"/>
  <c r="Q41" i="20"/>
  <c r="Q42" i="20"/>
  <c r="Q43" i="20"/>
  <c r="Q44" i="20"/>
  <c r="Q45" i="20"/>
  <c r="Q46" i="20"/>
  <c r="Q47" i="20"/>
  <c r="Q48" i="20"/>
  <c r="Q23" i="20"/>
  <c r="Q24" i="20"/>
  <c r="Q13" i="20"/>
  <c r="Q25" i="20"/>
  <c r="Q14" i="20"/>
  <c r="Q17" i="20"/>
  <c r="Q26" i="20"/>
  <c r="Q18" i="20"/>
  <c r="Q19" i="20"/>
  <c r="Q27" i="20"/>
  <c r="Q28" i="20"/>
  <c r="Q29" i="20"/>
  <c r="AG75" i="4" l="1"/>
  <c r="AJ75" i="4" s="1"/>
  <c r="AG90" i="4"/>
  <c r="AJ90" i="4" s="1"/>
  <c r="AG76" i="4"/>
  <c r="AJ76" i="4" s="1"/>
  <c r="AG84" i="4"/>
  <c r="AJ84" i="4" s="1"/>
  <c r="AG57" i="4"/>
  <c r="AJ57" i="4" s="1"/>
  <c r="AG105" i="4"/>
  <c r="AJ105" i="4" s="1"/>
  <c r="AG93" i="4"/>
  <c r="AJ93" i="4" s="1"/>
  <c r="AG96" i="4"/>
  <c r="AJ96" i="4" s="1"/>
  <c r="AG91" i="4"/>
  <c r="AJ91" i="4" s="1"/>
  <c r="AG83" i="4"/>
  <c r="AJ83" i="4" s="1"/>
  <c r="AG94" i="4"/>
  <c r="AJ94" i="4" s="1"/>
  <c r="C69" i="6"/>
  <c r="C116" i="6"/>
  <c r="C89" i="6"/>
  <c r="D69" i="6"/>
  <c r="D116" i="6"/>
  <c r="D89" i="6"/>
  <c r="E69" i="6"/>
  <c r="E116" i="6"/>
  <c r="E89" i="6"/>
  <c r="F69" i="6"/>
  <c r="F116" i="6"/>
  <c r="F89" i="6"/>
  <c r="H69" i="6"/>
  <c r="H116" i="6"/>
  <c r="H89" i="6"/>
  <c r="N69" i="6"/>
  <c r="N116" i="6"/>
  <c r="N89" i="6"/>
  <c r="Q69" i="6"/>
  <c r="Q116" i="6"/>
  <c r="Q89" i="6"/>
  <c r="R69" i="6"/>
  <c r="R116" i="6"/>
  <c r="R89" i="6"/>
  <c r="S69" i="6"/>
  <c r="S116" i="6"/>
  <c r="S89" i="6"/>
  <c r="T69" i="6"/>
  <c r="T116" i="6"/>
  <c r="T89" i="6"/>
  <c r="C201" i="3"/>
  <c r="D201" i="3"/>
  <c r="E201" i="3"/>
  <c r="F201" i="3"/>
  <c r="H201" i="3"/>
  <c r="N201" i="3"/>
  <c r="P201" i="3"/>
  <c r="C219" i="5" a="1"/>
  <c r="C219" i="5" s="1"/>
  <c r="M89" i="6" l="1"/>
  <c r="P116" i="6"/>
  <c r="P69" i="6"/>
  <c r="M116" i="6"/>
  <c r="M69" i="6"/>
  <c r="P89" i="6"/>
  <c r="M201" i="3"/>
  <c r="O201" i="3"/>
  <c r="V20" i="1" l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I38" i="1"/>
  <c r="I39" i="1"/>
  <c r="I34" i="1"/>
  <c r="I35" i="1"/>
  <c r="I40" i="1"/>
  <c r="I41" i="1"/>
  <c r="I36" i="1"/>
  <c r="I32" i="1"/>
  <c r="I33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D33" i="1"/>
  <c r="J33" i="1"/>
  <c r="L33" i="1" s="1"/>
  <c r="N33" i="1"/>
  <c r="O33" i="1"/>
  <c r="P33" i="1"/>
  <c r="Q33" i="1"/>
  <c r="R33" i="1"/>
  <c r="I31" i="1"/>
  <c r="R204" i="5"/>
  <c r="R205" i="5"/>
  <c r="R206" i="5"/>
  <c r="R207" i="5"/>
  <c r="R208" i="5"/>
  <c r="R209" i="5"/>
  <c r="R210" i="5"/>
  <c r="R211" i="5"/>
  <c r="R212" i="5"/>
  <c r="R213" i="5"/>
  <c r="R214" i="5"/>
  <c r="R215" i="5"/>
  <c r="R216" i="5"/>
  <c r="R217" i="5"/>
  <c r="R218" i="5"/>
  <c r="R219" i="5"/>
  <c r="D199" i="5"/>
  <c r="G199" i="5" s="1"/>
  <c r="D198" i="5"/>
  <c r="G198" i="5" s="1"/>
  <c r="D197" i="5"/>
  <c r="J197" i="5" s="1"/>
  <c r="D196" i="5"/>
  <c r="J196" i="5" s="1"/>
  <c r="D195" i="5"/>
  <c r="I195" i="5" s="1"/>
  <c r="D194" i="5"/>
  <c r="H194" i="5" s="1"/>
  <c r="D193" i="5"/>
  <c r="H193" i="5" s="1"/>
  <c r="D192" i="5"/>
  <c r="H192" i="5" s="1"/>
  <c r="D191" i="5"/>
  <c r="G191" i="5" s="1"/>
  <c r="D190" i="5"/>
  <c r="F195" i="5" l="1"/>
  <c r="G197" i="5"/>
  <c r="H199" i="5"/>
  <c r="H191" i="5"/>
  <c r="I194" i="5"/>
  <c r="J195" i="5"/>
  <c r="K195" i="5" s="1"/>
  <c r="F194" i="5"/>
  <c r="G196" i="5"/>
  <c r="L196" i="5" s="1"/>
  <c r="H198" i="5"/>
  <c r="I190" i="5"/>
  <c r="I193" i="5"/>
  <c r="J194" i="5"/>
  <c r="F193" i="5"/>
  <c r="G195" i="5"/>
  <c r="L195" i="5" s="1"/>
  <c r="H197" i="5"/>
  <c r="J190" i="5"/>
  <c r="I192" i="5"/>
  <c r="J193" i="5"/>
  <c r="F190" i="5"/>
  <c r="F192" i="5"/>
  <c r="G194" i="5"/>
  <c r="H196" i="5"/>
  <c r="I199" i="5"/>
  <c r="I191" i="5"/>
  <c r="I219" i="5" s="1"/>
  <c r="J192" i="5"/>
  <c r="F199" i="5"/>
  <c r="F191" i="5"/>
  <c r="G193" i="5"/>
  <c r="H195" i="5"/>
  <c r="I198" i="5"/>
  <c r="J199" i="5"/>
  <c r="J191" i="5"/>
  <c r="F198" i="5"/>
  <c r="G190" i="5"/>
  <c r="G192" i="5"/>
  <c r="I197" i="5"/>
  <c r="K197" i="5" s="1"/>
  <c r="J198" i="5"/>
  <c r="F197" i="5"/>
  <c r="I196" i="5"/>
  <c r="K196" i="5" s="1"/>
  <c r="G219" i="5"/>
  <c r="F196" i="5"/>
  <c r="H190" i="5"/>
  <c r="B219" i="5"/>
  <c r="J284" i="4"/>
  <c r="J283" i="4"/>
  <c r="J282" i="4"/>
  <c r="T13" i="6"/>
  <c r="T24" i="6"/>
  <c r="T79" i="6"/>
  <c r="T80" i="6"/>
  <c r="T49" i="6"/>
  <c r="T42" i="6"/>
  <c r="T20" i="6"/>
  <c r="T70" i="6"/>
  <c r="T52" i="6"/>
  <c r="T61" i="6"/>
  <c r="T60" i="6"/>
  <c r="T81" i="6"/>
  <c r="T23" i="6"/>
  <c r="T17" i="6"/>
  <c r="T53" i="6"/>
  <c r="T43" i="6"/>
  <c r="T78" i="6"/>
  <c r="T50" i="6"/>
  <c r="T48" i="6"/>
  <c r="T21" i="6"/>
  <c r="T62" i="6"/>
  <c r="T27" i="6"/>
  <c r="T82" i="6"/>
  <c r="T16" i="6"/>
  <c r="T54" i="6"/>
  <c r="T25" i="6"/>
  <c r="T84" i="6"/>
  <c r="T83" i="6"/>
  <c r="T85" i="6"/>
  <c r="T36" i="6"/>
  <c r="T87" i="6"/>
  <c r="T37" i="6"/>
  <c r="T14" i="6"/>
  <c r="T31" i="6"/>
  <c r="T86" i="6"/>
  <c r="T71" i="6"/>
  <c r="T44" i="6"/>
  <c r="T38" i="6"/>
  <c r="T39" i="6"/>
  <c r="T63" i="6"/>
  <c r="T55" i="6"/>
  <c r="T15" i="6"/>
  <c r="T32" i="6"/>
  <c r="T41" i="6"/>
  <c r="T29" i="6"/>
  <c r="T88" i="6"/>
  <c r="T56" i="6"/>
  <c r="T18" i="6"/>
  <c r="T93" i="6"/>
  <c r="T28" i="6"/>
  <c r="T94" i="6"/>
  <c r="T64" i="6"/>
  <c r="T95" i="6"/>
  <c r="T45" i="6"/>
  <c r="T96" i="6"/>
  <c r="T72" i="6"/>
  <c r="T97" i="6"/>
  <c r="T12" i="6"/>
  <c r="T46" i="6"/>
  <c r="T98" i="6"/>
  <c r="T73" i="6"/>
  <c r="T57" i="6"/>
  <c r="T58" i="6"/>
  <c r="T26" i="6"/>
  <c r="T99" i="6"/>
  <c r="T74" i="6"/>
  <c r="T91" i="6"/>
  <c r="T100" i="6"/>
  <c r="T19" i="6"/>
  <c r="T75" i="6"/>
  <c r="T30" i="6"/>
  <c r="T102" i="6"/>
  <c r="T47" i="6"/>
  <c r="T33" i="6"/>
  <c r="T105" i="6"/>
  <c r="T76" i="6"/>
  <c r="T40" i="6"/>
  <c r="T66" i="6"/>
  <c r="T107" i="6"/>
  <c r="T108" i="6"/>
  <c r="T101" i="6"/>
  <c r="T106" i="6"/>
  <c r="T90" i="6"/>
  <c r="T109" i="6"/>
  <c r="T110" i="6"/>
  <c r="T59" i="6"/>
  <c r="T67" i="6"/>
  <c r="T34" i="6"/>
  <c r="T111" i="6"/>
  <c r="T112" i="6"/>
  <c r="T77" i="6"/>
  <c r="T65" i="6"/>
  <c r="T68" i="6"/>
  <c r="T51" i="6"/>
  <c r="T22" i="6"/>
  <c r="T113" i="6"/>
  <c r="T92" i="6"/>
  <c r="T104" i="6"/>
  <c r="T114" i="6"/>
  <c r="T35" i="6"/>
  <c r="T115" i="6"/>
  <c r="T103" i="6"/>
  <c r="S13" i="6"/>
  <c r="S24" i="6"/>
  <c r="S79" i="6"/>
  <c r="S80" i="6"/>
  <c r="S49" i="6"/>
  <c r="S42" i="6"/>
  <c r="S20" i="6"/>
  <c r="S70" i="6"/>
  <c r="S52" i="6"/>
  <c r="S61" i="6"/>
  <c r="S60" i="6"/>
  <c r="S81" i="6"/>
  <c r="S23" i="6"/>
  <c r="S17" i="6"/>
  <c r="S53" i="6"/>
  <c r="S43" i="6"/>
  <c r="S78" i="6"/>
  <c r="S50" i="6"/>
  <c r="S48" i="6"/>
  <c r="S21" i="6"/>
  <c r="S62" i="6"/>
  <c r="S27" i="6"/>
  <c r="S82" i="6"/>
  <c r="S16" i="6"/>
  <c r="S54" i="6"/>
  <c r="S25" i="6"/>
  <c r="S84" i="6"/>
  <c r="S83" i="6"/>
  <c r="S85" i="6"/>
  <c r="S36" i="6"/>
  <c r="S87" i="6"/>
  <c r="S37" i="6"/>
  <c r="S14" i="6"/>
  <c r="S31" i="6"/>
  <c r="S86" i="6"/>
  <c r="S71" i="6"/>
  <c r="S44" i="6"/>
  <c r="S38" i="6"/>
  <c r="S39" i="6"/>
  <c r="S63" i="6"/>
  <c r="S55" i="6"/>
  <c r="S15" i="6"/>
  <c r="S32" i="6"/>
  <c r="S41" i="6"/>
  <c r="S29" i="6"/>
  <c r="S88" i="6"/>
  <c r="S56" i="6"/>
  <c r="S18" i="6"/>
  <c r="S93" i="6"/>
  <c r="S28" i="6"/>
  <c r="S94" i="6"/>
  <c r="S64" i="6"/>
  <c r="S95" i="6"/>
  <c r="S45" i="6"/>
  <c r="S96" i="6"/>
  <c r="S72" i="6"/>
  <c r="S97" i="6"/>
  <c r="S12" i="6"/>
  <c r="S46" i="6"/>
  <c r="S98" i="6"/>
  <c r="S73" i="6"/>
  <c r="S57" i="6"/>
  <c r="S58" i="6"/>
  <c r="S26" i="6"/>
  <c r="S99" i="6"/>
  <c r="S74" i="6"/>
  <c r="S91" i="6"/>
  <c r="S100" i="6"/>
  <c r="S19" i="6"/>
  <c r="S75" i="6"/>
  <c r="S30" i="6"/>
  <c r="S102" i="6"/>
  <c r="S47" i="6"/>
  <c r="S33" i="6"/>
  <c r="S105" i="6"/>
  <c r="S76" i="6"/>
  <c r="S40" i="6"/>
  <c r="S66" i="6"/>
  <c r="S107" i="6"/>
  <c r="S108" i="6"/>
  <c r="S101" i="6"/>
  <c r="S106" i="6"/>
  <c r="S90" i="6"/>
  <c r="S109" i="6"/>
  <c r="S110" i="6"/>
  <c r="S59" i="6"/>
  <c r="S67" i="6"/>
  <c r="S34" i="6"/>
  <c r="S111" i="6"/>
  <c r="S112" i="6"/>
  <c r="S77" i="6"/>
  <c r="S65" i="6"/>
  <c r="S68" i="6"/>
  <c r="S51" i="6"/>
  <c r="S22" i="6"/>
  <c r="S113" i="6"/>
  <c r="S92" i="6"/>
  <c r="S104" i="6"/>
  <c r="S114" i="6"/>
  <c r="S35" i="6"/>
  <c r="S115" i="6"/>
  <c r="S103" i="6"/>
  <c r="R13" i="6"/>
  <c r="R24" i="6"/>
  <c r="R79" i="6"/>
  <c r="R80" i="6"/>
  <c r="R49" i="6"/>
  <c r="R42" i="6"/>
  <c r="R20" i="6"/>
  <c r="R70" i="6"/>
  <c r="R52" i="6"/>
  <c r="R61" i="6"/>
  <c r="R60" i="6"/>
  <c r="R81" i="6"/>
  <c r="R23" i="6"/>
  <c r="R17" i="6"/>
  <c r="R53" i="6"/>
  <c r="R43" i="6"/>
  <c r="R78" i="6"/>
  <c r="R50" i="6"/>
  <c r="R48" i="6"/>
  <c r="R21" i="6"/>
  <c r="R62" i="6"/>
  <c r="R27" i="6"/>
  <c r="R82" i="6"/>
  <c r="R16" i="6"/>
  <c r="R54" i="6"/>
  <c r="R25" i="6"/>
  <c r="R84" i="6"/>
  <c r="R83" i="6"/>
  <c r="R85" i="6"/>
  <c r="R36" i="6"/>
  <c r="R87" i="6"/>
  <c r="R37" i="6"/>
  <c r="R14" i="6"/>
  <c r="R31" i="6"/>
  <c r="R86" i="6"/>
  <c r="R71" i="6"/>
  <c r="R44" i="6"/>
  <c r="R38" i="6"/>
  <c r="R39" i="6"/>
  <c r="R63" i="6"/>
  <c r="R55" i="6"/>
  <c r="R15" i="6"/>
  <c r="R32" i="6"/>
  <c r="R41" i="6"/>
  <c r="R29" i="6"/>
  <c r="R88" i="6"/>
  <c r="R56" i="6"/>
  <c r="R18" i="6"/>
  <c r="R93" i="6"/>
  <c r="R28" i="6"/>
  <c r="R94" i="6"/>
  <c r="R64" i="6"/>
  <c r="R95" i="6"/>
  <c r="R45" i="6"/>
  <c r="R96" i="6"/>
  <c r="R72" i="6"/>
  <c r="R97" i="6"/>
  <c r="R12" i="6"/>
  <c r="R46" i="6"/>
  <c r="R98" i="6"/>
  <c r="R73" i="6"/>
  <c r="R57" i="6"/>
  <c r="R58" i="6"/>
  <c r="R26" i="6"/>
  <c r="R99" i="6"/>
  <c r="R74" i="6"/>
  <c r="R91" i="6"/>
  <c r="R100" i="6"/>
  <c r="R19" i="6"/>
  <c r="R75" i="6"/>
  <c r="R30" i="6"/>
  <c r="R102" i="6"/>
  <c r="R47" i="6"/>
  <c r="R33" i="6"/>
  <c r="R105" i="6"/>
  <c r="R76" i="6"/>
  <c r="R40" i="6"/>
  <c r="R66" i="6"/>
  <c r="R107" i="6"/>
  <c r="R108" i="6"/>
  <c r="R101" i="6"/>
  <c r="R106" i="6"/>
  <c r="R90" i="6"/>
  <c r="R109" i="6"/>
  <c r="R110" i="6"/>
  <c r="R59" i="6"/>
  <c r="R67" i="6"/>
  <c r="R34" i="6"/>
  <c r="R111" i="6"/>
  <c r="R112" i="6"/>
  <c r="R77" i="6"/>
  <c r="R65" i="6"/>
  <c r="R68" i="6"/>
  <c r="R51" i="6"/>
  <c r="R22" i="6"/>
  <c r="R113" i="6"/>
  <c r="R92" i="6"/>
  <c r="R104" i="6"/>
  <c r="R114" i="6"/>
  <c r="R35" i="6"/>
  <c r="R115" i="6"/>
  <c r="R103" i="6"/>
  <c r="Q13" i="6"/>
  <c r="Q24" i="6"/>
  <c r="Q79" i="6"/>
  <c r="Q80" i="6"/>
  <c r="Q49" i="6"/>
  <c r="Q42" i="6"/>
  <c r="Q20" i="6"/>
  <c r="Q70" i="6"/>
  <c r="Q52" i="6"/>
  <c r="Q61" i="6"/>
  <c r="Q60" i="6"/>
  <c r="Q81" i="6"/>
  <c r="Q23" i="6"/>
  <c r="Q17" i="6"/>
  <c r="Q53" i="6"/>
  <c r="Q43" i="6"/>
  <c r="Q78" i="6"/>
  <c r="Q50" i="6"/>
  <c r="Q48" i="6"/>
  <c r="Q21" i="6"/>
  <c r="Q62" i="6"/>
  <c r="Q27" i="6"/>
  <c r="Q82" i="6"/>
  <c r="Q16" i="6"/>
  <c r="Q54" i="6"/>
  <c r="Q25" i="6"/>
  <c r="Q84" i="6"/>
  <c r="Q83" i="6"/>
  <c r="Q85" i="6"/>
  <c r="Q36" i="6"/>
  <c r="Q87" i="6"/>
  <c r="Q37" i="6"/>
  <c r="Q14" i="6"/>
  <c r="Q31" i="6"/>
  <c r="Q86" i="6"/>
  <c r="Q71" i="6"/>
  <c r="Q44" i="6"/>
  <c r="Q38" i="6"/>
  <c r="Q39" i="6"/>
  <c r="Q63" i="6"/>
  <c r="Q55" i="6"/>
  <c r="Q15" i="6"/>
  <c r="Q32" i="6"/>
  <c r="Q41" i="6"/>
  <c r="Q29" i="6"/>
  <c r="Q88" i="6"/>
  <c r="Q56" i="6"/>
  <c r="Q18" i="6"/>
  <c r="Q93" i="6"/>
  <c r="Q28" i="6"/>
  <c r="Q94" i="6"/>
  <c r="Q64" i="6"/>
  <c r="Q95" i="6"/>
  <c r="Q45" i="6"/>
  <c r="Q96" i="6"/>
  <c r="Q72" i="6"/>
  <c r="Q97" i="6"/>
  <c r="Q12" i="6"/>
  <c r="Q46" i="6"/>
  <c r="Q98" i="6"/>
  <c r="Q73" i="6"/>
  <c r="Q57" i="6"/>
  <c r="Q58" i="6"/>
  <c r="Q26" i="6"/>
  <c r="Q99" i="6"/>
  <c r="Q74" i="6"/>
  <c r="Q91" i="6"/>
  <c r="Q100" i="6"/>
  <c r="Q19" i="6"/>
  <c r="Q75" i="6"/>
  <c r="Q30" i="6"/>
  <c r="Q102" i="6"/>
  <c r="Q47" i="6"/>
  <c r="Q33" i="6"/>
  <c r="Q105" i="6"/>
  <c r="Q76" i="6"/>
  <c r="Q40" i="6"/>
  <c r="Q66" i="6"/>
  <c r="Q107" i="6"/>
  <c r="Q108" i="6"/>
  <c r="Q101" i="6"/>
  <c r="Q106" i="6"/>
  <c r="Q90" i="6"/>
  <c r="Q109" i="6"/>
  <c r="Q110" i="6"/>
  <c r="Q59" i="6"/>
  <c r="Q67" i="6"/>
  <c r="Q34" i="6"/>
  <c r="Q111" i="6"/>
  <c r="Q112" i="6"/>
  <c r="Q77" i="6"/>
  <c r="Q65" i="6"/>
  <c r="Q68" i="6"/>
  <c r="Q51" i="6"/>
  <c r="Q22" i="6"/>
  <c r="Q113" i="6"/>
  <c r="Q92" i="6"/>
  <c r="Q104" i="6"/>
  <c r="Q114" i="6"/>
  <c r="Q35" i="6"/>
  <c r="Q115" i="6"/>
  <c r="Q103" i="6"/>
  <c r="L198" i="5"/>
  <c r="K192" i="5"/>
  <c r="C163" i="3"/>
  <c r="C151" i="3"/>
  <c r="C169" i="3"/>
  <c r="D163" i="3"/>
  <c r="D151" i="3"/>
  <c r="D169" i="3"/>
  <c r="E163" i="3"/>
  <c r="E151" i="3"/>
  <c r="E169" i="3"/>
  <c r="F163" i="3"/>
  <c r="F151" i="3"/>
  <c r="F169" i="3"/>
  <c r="H163" i="3"/>
  <c r="H151" i="3"/>
  <c r="H169" i="3"/>
  <c r="N163" i="3"/>
  <c r="N151" i="3"/>
  <c r="N169" i="3"/>
  <c r="P163" i="3"/>
  <c r="P151" i="3"/>
  <c r="P169" i="3"/>
  <c r="L20" i="1"/>
  <c r="L30" i="1"/>
  <c r="L32" i="1"/>
  <c r="L25" i="1"/>
  <c r="L29" i="1"/>
  <c r="L21" i="1"/>
  <c r="L31" i="1"/>
  <c r="L22" i="1"/>
  <c r="L28" i="1"/>
  <c r="L24" i="1"/>
  <c r="L36" i="1"/>
  <c r="L27" i="1"/>
  <c r="L41" i="1"/>
  <c r="L40" i="1"/>
  <c r="L35" i="1"/>
  <c r="L26" i="1"/>
  <c r="L34" i="1"/>
  <c r="L39" i="1"/>
  <c r="L23" i="1"/>
  <c r="L38" i="1"/>
  <c r="D20" i="1"/>
  <c r="I20" i="1"/>
  <c r="J20" i="1"/>
  <c r="N20" i="1"/>
  <c r="O20" i="1"/>
  <c r="P20" i="1"/>
  <c r="Q20" i="1"/>
  <c r="R20" i="1"/>
  <c r="D30" i="1"/>
  <c r="I30" i="1"/>
  <c r="J30" i="1"/>
  <c r="N30" i="1"/>
  <c r="O30" i="1"/>
  <c r="P30" i="1"/>
  <c r="Q30" i="1"/>
  <c r="R30" i="1"/>
  <c r="D32" i="1"/>
  <c r="J32" i="1"/>
  <c r="N32" i="1"/>
  <c r="O32" i="1"/>
  <c r="P32" i="1"/>
  <c r="Q32" i="1"/>
  <c r="R32" i="1"/>
  <c r="D25" i="1"/>
  <c r="I25" i="1"/>
  <c r="J25" i="1"/>
  <c r="N25" i="1"/>
  <c r="O25" i="1"/>
  <c r="P25" i="1"/>
  <c r="Q25" i="1"/>
  <c r="R25" i="1"/>
  <c r="D29" i="1"/>
  <c r="I29" i="1"/>
  <c r="J29" i="1"/>
  <c r="N29" i="1"/>
  <c r="O29" i="1"/>
  <c r="P29" i="1"/>
  <c r="Q29" i="1"/>
  <c r="R29" i="1"/>
  <c r="D21" i="1"/>
  <c r="I21" i="1"/>
  <c r="J21" i="1"/>
  <c r="N21" i="1"/>
  <c r="O21" i="1"/>
  <c r="P21" i="1"/>
  <c r="Q21" i="1"/>
  <c r="R21" i="1"/>
  <c r="D31" i="1"/>
  <c r="J31" i="1"/>
  <c r="N31" i="1"/>
  <c r="O31" i="1"/>
  <c r="P31" i="1"/>
  <c r="Q31" i="1"/>
  <c r="R31" i="1"/>
  <c r="D22" i="1"/>
  <c r="I22" i="1"/>
  <c r="J22" i="1"/>
  <c r="N22" i="1"/>
  <c r="O22" i="1"/>
  <c r="P22" i="1"/>
  <c r="Q22" i="1"/>
  <c r="R22" i="1"/>
  <c r="D28" i="1"/>
  <c r="I28" i="1"/>
  <c r="J28" i="1"/>
  <c r="N28" i="1"/>
  <c r="O28" i="1"/>
  <c r="P28" i="1"/>
  <c r="Q28" i="1"/>
  <c r="R28" i="1"/>
  <c r="D24" i="1"/>
  <c r="I24" i="1"/>
  <c r="J24" i="1"/>
  <c r="N24" i="1"/>
  <c r="O24" i="1"/>
  <c r="P24" i="1"/>
  <c r="Q24" i="1"/>
  <c r="R24" i="1"/>
  <c r="D36" i="1"/>
  <c r="J36" i="1"/>
  <c r="N36" i="1"/>
  <c r="O36" i="1"/>
  <c r="P36" i="1"/>
  <c r="Q36" i="1"/>
  <c r="R36" i="1"/>
  <c r="D27" i="1"/>
  <c r="I27" i="1"/>
  <c r="J27" i="1"/>
  <c r="N27" i="1"/>
  <c r="O27" i="1"/>
  <c r="P27" i="1"/>
  <c r="Q27" i="1"/>
  <c r="R27" i="1"/>
  <c r="D41" i="1"/>
  <c r="J41" i="1"/>
  <c r="N41" i="1"/>
  <c r="O41" i="1"/>
  <c r="P41" i="1"/>
  <c r="Q41" i="1"/>
  <c r="R41" i="1"/>
  <c r="D40" i="1"/>
  <c r="J40" i="1"/>
  <c r="N40" i="1"/>
  <c r="O40" i="1"/>
  <c r="P40" i="1"/>
  <c r="Q40" i="1"/>
  <c r="R40" i="1"/>
  <c r="D35" i="1"/>
  <c r="J35" i="1"/>
  <c r="N35" i="1"/>
  <c r="O35" i="1"/>
  <c r="P35" i="1"/>
  <c r="Q35" i="1"/>
  <c r="R35" i="1"/>
  <c r="D26" i="1"/>
  <c r="I26" i="1"/>
  <c r="J26" i="1"/>
  <c r="N26" i="1"/>
  <c r="O26" i="1"/>
  <c r="P26" i="1"/>
  <c r="Q26" i="1"/>
  <c r="R26" i="1"/>
  <c r="D34" i="1"/>
  <c r="J34" i="1"/>
  <c r="N34" i="1"/>
  <c r="O34" i="1"/>
  <c r="P34" i="1"/>
  <c r="Q34" i="1"/>
  <c r="R34" i="1"/>
  <c r="D39" i="1"/>
  <c r="J39" i="1"/>
  <c r="N39" i="1"/>
  <c r="O39" i="1"/>
  <c r="P39" i="1"/>
  <c r="Q39" i="1"/>
  <c r="R39" i="1"/>
  <c r="D23" i="1"/>
  <c r="I23" i="1"/>
  <c r="J23" i="1"/>
  <c r="N23" i="1"/>
  <c r="O23" i="1"/>
  <c r="P23" i="1"/>
  <c r="Q23" i="1"/>
  <c r="R23" i="1"/>
  <c r="D38" i="1"/>
  <c r="J38" i="1"/>
  <c r="N38" i="1"/>
  <c r="O38" i="1"/>
  <c r="P38" i="1"/>
  <c r="Q38" i="1"/>
  <c r="R38" i="1"/>
  <c r="C22" i="6"/>
  <c r="C113" i="6"/>
  <c r="C41" i="6"/>
  <c r="C83" i="6"/>
  <c r="C91" i="6"/>
  <c r="C92" i="6"/>
  <c r="C104" i="6"/>
  <c r="C73" i="6"/>
  <c r="C18" i="6"/>
  <c r="C53" i="6"/>
  <c r="C114" i="6"/>
  <c r="C108" i="6"/>
  <c r="C35" i="6"/>
  <c r="C85" i="6"/>
  <c r="C115" i="6"/>
  <c r="C29" i="6"/>
  <c r="C103" i="6"/>
  <c r="C46" i="6"/>
  <c r="D22" i="6"/>
  <c r="D113" i="6"/>
  <c r="D41" i="6"/>
  <c r="D83" i="6"/>
  <c r="D91" i="6"/>
  <c r="D92" i="6"/>
  <c r="D104" i="6"/>
  <c r="D73" i="6"/>
  <c r="D18" i="6"/>
  <c r="D53" i="6"/>
  <c r="D114" i="6"/>
  <c r="D108" i="6"/>
  <c r="D35" i="6"/>
  <c r="D85" i="6"/>
  <c r="D115" i="6"/>
  <c r="D29" i="6"/>
  <c r="D103" i="6"/>
  <c r="D46" i="6"/>
  <c r="E22" i="6"/>
  <c r="E113" i="6"/>
  <c r="E41" i="6"/>
  <c r="E83" i="6"/>
  <c r="E91" i="6"/>
  <c r="E92" i="6"/>
  <c r="E104" i="6"/>
  <c r="E73" i="6"/>
  <c r="E18" i="6"/>
  <c r="E53" i="6"/>
  <c r="E114" i="6"/>
  <c r="E108" i="6"/>
  <c r="E35" i="6"/>
  <c r="E85" i="6"/>
  <c r="E115" i="6"/>
  <c r="E29" i="6"/>
  <c r="E103" i="6"/>
  <c r="E46" i="6"/>
  <c r="F22" i="6"/>
  <c r="F113" i="6"/>
  <c r="F41" i="6"/>
  <c r="F83" i="6"/>
  <c r="F91" i="6"/>
  <c r="F92" i="6"/>
  <c r="F104" i="6"/>
  <c r="F73" i="6"/>
  <c r="F18" i="6"/>
  <c r="F53" i="6"/>
  <c r="F114" i="6"/>
  <c r="F108" i="6"/>
  <c r="F35" i="6"/>
  <c r="F85" i="6"/>
  <c r="F115" i="6"/>
  <c r="F29" i="6"/>
  <c r="F103" i="6"/>
  <c r="F46" i="6"/>
  <c r="H22" i="6"/>
  <c r="H113" i="6"/>
  <c r="H41" i="6"/>
  <c r="H83" i="6"/>
  <c r="H91" i="6"/>
  <c r="H92" i="6"/>
  <c r="H104" i="6"/>
  <c r="H73" i="6"/>
  <c r="H18" i="6"/>
  <c r="H53" i="6"/>
  <c r="H114" i="6"/>
  <c r="H108" i="6"/>
  <c r="H35" i="6"/>
  <c r="H85" i="6"/>
  <c r="H115" i="6"/>
  <c r="H29" i="6"/>
  <c r="H103" i="6"/>
  <c r="H46" i="6"/>
  <c r="N22" i="6"/>
  <c r="N113" i="6"/>
  <c r="N41" i="6"/>
  <c r="N83" i="6"/>
  <c r="N91" i="6"/>
  <c r="N92" i="6"/>
  <c r="N104" i="6"/>
  <c r="N73" i="6"/>
  <c r="N18" i="6"/>
  <c r="N53" i="6"/>
  <c r="N114" i="6"/>
  <c r="N108" i="6"/>
  <c r="N35" i="6"/>
  <c r="N85" i="6"/>
  <c r="N115" i="6"/>
  <c r="N29" i="6"/>
  <c r="N103" i="6"/>
  <c r="N46" i="6"/>
  <c r="C31" i="3"/>
  <c r="C142" i="3"/>
  <c r="C73" i="3"/>
  <c r="C117" i="3"/>
  <c r="C41" i="3"/>
  <c r="C139" i="3"/>
  <c r="C106" i="3"/>
  <c r="D31" i="3"/>
  <c r="D142" i="3"/>
  <c r="D73" i="3"/>
  <c r="D117" i="3"/>
  <c r="D41" i="3"/>
  <c r="D139" i="3"/>
  <c r="D106" i="3"/>
  <c r="E31" i="3"/>
  <c r="E142" i="3"/>
  <c r="E73" i="3"/>
  <c r="E117" i="3"/>
  <c r="E41" i="3"/>
  <c r="E139" i="3"/>
  <c r="E106" i="3"/>
  <c r="F31" i="3"/>
  <c r="F142" i="3"/>
  <c r="F73" i="3"/>
  <c r="F117" i="3"/>
  <c r="F41" i="3"/>
  <c r="F139" i="3"/>
  <c r="F106" i="3"/>
  <c r="H31" i="3"/>
  <c r="H142" i="3"/>
  <c r="H73" i="3"/>
  <c r="H117" i="3"/>
  <c r="H41" i="3"/>
  <c r="H139" i="3"/>
  <c r="H106" i="3"/>
  <c r="N31" i="3"/>
  <c r="N142" i="3"/>
  <c r="N73" i="3"/>
  <c r="N117" i="3"/>
  <c r="N41" i="3"/>
  <c r="N139" i="3"/>
  <c r="N106" i="3"/>
  <c r="P31" i="3"/>
  <c r="P142" i="3"/>
  <c r="P73" i="3"/>
  <c r="P117" i="3"/>
  <c r="P41" i="3"/>
  <c r="P139" i="3"/>
  <c r="P106" i="3"/>
  <c r="D58" i="1"/>
  <c r="D49" i="1"/>
  <c r="D45" i="1"/>
  <c r="D46" i="1"/>
  <c r="D59" i="1"/>
  <c r="D60" i="1"/>
  <c r="D53" i="1"/>
  <c r="D47" i="1"/>
  <c r="D61" i="1"/>
  <c r="D50" i="1"/>
  <c r="D62" i="1"/>
  <c r="D52" i="1"/>
  <c r="D43" i="1"/>
  <c r="D63" i="1"/>
  <c r="D54" i="1"/>
  <c r="D55" i="1"/>
  <c r="D56" i="1"/>
  <c r="D44" i="1"/>
  <c r="D42" i="1"/>
  <c r="D57" i="1"/>
  <c r="D51" i="1"/>
  <c r="D48" i="1"/>
  <c r="D64" i="1"/>
  <c r="J58" i="1"/>
  <c r="J49" i="1"/>
  <c r="J45" i="1"/>
  <c r="J46" i="1"/>
  <c r="J59" i="1"/>
  <c r="J60" i="1"/>
  <c r="J53" i="1"/>
  <c r="J47" i="1"/>
  <c r="J61" i="1"/>
  <c r="J50" i="1"/>
  <c r="J62" i="1"/>
  <c r="J52" i="1"/>
  <c r="J43" i="1"/>
  <c r="J63" i="1"/>
  <c r="J54" i="1"/>
  <c r="J55" i="1"/>
  <c r="J56" i="1"/>
  <c r="J44" i="1"/>
  <c r="J42" i="1"/>
  <c r="J57" i="1"/>
  <c r="J51" i="1"/>
  <c r="J48" i="1"/>
  <c r="J64" i="1"/>
  <c r="N58" i="1"/>
  <c r="N49" i="1"/>
  <c r="N45" i="1"/>
  <c r="N46" i="1"/>
  <c r="N59" i="1"/>
  <c r="N60" i="1"/>
  <c r="N53" i="1"/>
  <c r="N47" i="1"/>
  <c r="N61" i="1"/>
  <c r="N50" i="1"/>
  <c r="N62" i="1"/>
  <c r="N52" i="1"/>
  <c r="N43" i="1"/>
  <c r="N63" i="1"/>
  <c r="N54" i="1"/>
  <c r="N55" i="1"/>
  <c r="N56" i="1"/>
  <c r="N44" i="1"/>
  <c r="N42" i="1"/>
  <c r="N57" i="1"/>
  <c r="N51" i="1"/>
  <c r="N48" i="1"/>
  <c r="N64" i="1"/>
  <c r="O58" i="1"/>
  <c r="O49" i="1"/>
  <c r="O45" i="1"/>
  <c r="O46" i="1"/>
  <c r="O59" i="1"/>
  <c r="O60" i="1"/>
  <c r="O53" i="1"/>
  <c r="O47" i="1"/>
  <c r="O61" i="1"/>
  <c r="O50" i="1"/>
  <c r="O62" i="1"/>
  <c r="O52" i="1"/>
  <c r="O43" i="1"/>
  <c r="O63" i="1"/>
  <c r="O54" i="1"/>
  <c r="O55" i="1"/>
  <c r="O56" i="1"/>
  <c r="O44" i="1"/>
  <c r="O42" i="1"/>
  <c r="O57" i="1"/>
  <c r="O51" i="1"/>
  <c r="O48" i="1"/>
  <c r="O64" i="1"/>
  <c r="P58" i="1"/>
  <c r="P49" i="1"/>
  <c r="P45" i="1"/>
  <c r="P46" i="1"/>
  <c r="P59" i="1"/>
  <c r="P60" i="1"/>
  <c r="P53" i="1"/>
  <c r="P47" i="1"/>
  <c r="P61" i="1"/>
  <c r="P50" i="1"/>
  <c r="P62" i="1"/>
  <c r="P52" i="1"/>
  <c r="P43" i="1"/>
  <c r="P63" i="1"/>
  <c r="P54" i="1"/>
  <c r="P55" i="1"/>
  <c r="P56" i="1"/>
  <c r="P44" i="1"/>
  <c r="P42" i="1"/>
  <c r="P57" i="1"/>
  <c r="P51" i="1"/>
  <c r="P48" i="1"/>
  <c r="P64" i="1"/>
  <c r="Q58" i="1"/>
  <c r="Q49" i="1"/>
  <c r="Q45" i="1"/>
  <c r="Q46" i="1"/>
  <c r="Q59" i="1"/>
  <c r="Q60" i="1"/>
  <c r="Q53" i="1"/>
  <c r="Q47" i="1"/>
  <c r="Q61" i="1"/>
  <c r="Q50" i="1"/>
  <c r="Q62" i="1"/>
  <c r="Q52" i="1"/>
  <c r="Q43" i="1"/>
  <c r="Q63" i="1"/>
  <c r="Q54" i="1"/>
  <c r="Q55" i="1"/>
  <c r="Q56" i="1"/>
  <c r="Q44" i="1"/>
  <c r="Q42" i="1"/>
  <c r="Q57" i="1"/>
  <c r="Q51" i="1"/>
  <c r="Q48" i="1"/>
  <c r="Q64" i="1"/>
  <c r="R58" i="1"/>
  <c r="R49" i="1"/>
  <c r="R45" i="1"/>
  <c r="R46" i="1"/>
  <c r="R59" i="1"/>
  <c r="R60" i="1"/>
  <c r="R53" i="1"/>
  <c r="R47" i="1"/>
  <c r="R61" i="1"/>
  <c r="R50" i="1"/>
  <c r="R62" i="1"/>
  <c r="R52" i="1"/>
  <c r="R43" i="1"/>
  <c r="R63" i="1"/>
  <c r="R54" i="1"/>
  <c r="R55" i="1"/>
  <c r="R56" i="1"/>
  <c r="R44" i="1"/>
  <c r="R42" i="1"/>
  <c r="R57" i="1"/>
  <c r="R51" i="1"/>
  <c r="R48" i="1"/>
  <c r="R64" i="1"/>
  <c r="W15" i="4"/>
  <c r="W16" i="4"/>
  <c r="W17" i="4"/>
  <c r="W18" i="4"/>
  <c r="R30" i="4"/>
  <c r="AA30" i="4" s="1"/>
  <c r="S30" i="4"/>
  <c r="U30" i="4"/>
  <c r="J281" i="4"/>
  <c r="J280" i="4"/>
  <c r="J279" i="4"/>
  <c r="R29" i="4"/>
  <c r="AC29" i="4" s="1"/>
  <c r="S29" i="4"/>
  <c r="U29" i="4"/>
  <c r="J278" i="4"/>
  <c r="AV2" i="1"/>
  <c r="Q187" i="5"/>
  <c r="O187" i="5"/>
  <c r="N187" i="5"/>
  <c r="P187" i="5" s="1"/>
  <c r="Q186" i="5"/>
  <c r="O186" i="5"/>
  <c r="N186" i="5"/>
  <c r="Q185" i="5"/>
  <c r="O185" i="5"/>
  <c r="N185" i="5"/>
  <c r="Q184" i="5"/>
  <c r="O184" i="5"/>
  <c r="N184" i="5"/>
  <c r="Q183" i="5"/>
  <c r="O183" i="5"/>
  <c r="N183" i="5"/>
  <c r="Q182" i="5"/>
  <c r="O182" i="5"/>
  <c r="N182" i="5"/>
  <c r="Q181" i="5"/>
  <c r="O181" i="5"/>
  <c r="N181" i="5"/>
  <c r="Q180" i="5"/>
  <c r="O180" i="5"/>
  <c r="N180" i="5"/>
  <c r="Q179" i="5"/>
  <c r="O179" i="5"/>
  <c r="N179" i="5"/>
  <c r="Q178" i="5"/>
  <c r="O178" i="5"/>
  <c r="N178" i="5"/>
  <c r="Q177" i="5"/>
  <c r="O177" i="5"/>
  <c r="N177" i="5"/>
  <c r="P177" i="5" s="1"/>
  <c r="H219" i="5" l="1"/>
  <c r="E199" i="5"/>
  <c r="V29" i="4"/>
  <c r="K193" i="5"/>
  <c r="T30" i="4"/>
  <c r="J219" i="5"/>
  <c r="K219" i="5" s="1"/>
  <c r="K199" i="5"/>
  <c r="E191" i="5"/>
  <c r="O191" i="5" s="1"/>
  <c r="E197" i="5"/>
  <c r="O197" i="5" s="1"/>
  <c r="O199" i="5"/>
  <c r="L199" i="5"/>
  <c r="Q199" i="5" s="1"/>
  <c r="V30" i="4"/>
  <c r="T29" i="4"/>
  <c r="P35" i="20"/>
  <c r="R35" i="20" s="1"/>
  <c r="E192" i="5"/>
  <c r="N192" i="5" s="1"/>
  <c r="F219" i="5"/>
  <c r="L219" i="5" s="1"/>
  <c r="L191" i="5"/>
  <c r="K191" i="5"/>
  <c r="E198" i="5"/>
  <c r="N198" i="5" s="1"/>
  <c r="L197" i="5"/>
  <c r="K198" i="5"/>
  <c r="E196" i="5"/>
  <c r="Q196" i="5" s="1"/>
  <c r="E193" i="5"/>
  <c r="O193" i="5" s="1"/>
  <c r="K190" i="5"/>
  <c r="K194" i="5"/>
  <c r="L194" i="5"/>
  <c r="E195" i="5"/>
  <c r="O195" i="5" s="1"/>
  <c r="L192" i="5"/>
  <c r="E194" i="5"/>
  <c r="N194" i="5" s="1"/>
  <c r="L193" i="5"/>
  <c r="N197" i="5"/>
  <c r="P197" i="5" s="1"/>
  <c r="N199" i="5"/>
  <c r="P199" i="5" s="1"/>
  <c r="AB30" i="4"/>
  <c r="AC30" i="4"/>
  <c r="AA29" i="4"/>
  <c r="AB29" i="4"/>
  <c r="M169" i="3"/>
  <c r="P22" i="6"/>
  <c r="M18" i="6"/>
  <c r="M22" i="6"/>
  <c r="O163" i="3"/>
  <c r="O139" i="3"/>
  <c r="P184" i="5"/>
  <c r="P183" i="5"/>
  <c r="O142" i="3"/>
  <c r="O73" i="3"/>
  <c r="O151" i="3"/>
  <c r="O169" i="3"/>
  <c r="P103" i="6"/>
  <c r="P18" i="6"/>
  <c r="M151" i="3"/>
  <c r="M163" i="3"/>
  <c r="M103" i="6"/>
  <c r="P41" i="6"/>
  <c r="M114" i="6"/>
  <c r="M41" i="6"/>
  <c r="M46" i="6"/>
  <c r="M53" i="6"/>
  <c r="M113" i="6"/>
  <c r="P113" i="6"/>
  <c r="P114" i="6"/>
  <c r="P91" i="6"/>
  <c r="P83" i="6"/>
  <c r="M108" i="6"/>
  <c r="M83" i="6"/>
  <c r="P108" i="6"/>
  <c r="M115" i="6"/>
  <c r="M104" i="6"/>
  <c r="P115" i="6"/>
  <c r="P104" i="6"/>
  <c r="O41" i="3"/>
  <c r="P92" i="6"/>
  <c r="P85" i="6"/>
  <c r="O117" i="3"/>
  <c r="M31" i="3"/>
  <c r="M85" i="6"/>
  <c r="M92" i="6"/>
  <c r="P35" i="6"/>
  <c r="M35" i="6"/>
  <c r="M91" i="6"/>
  <c r="M73" i="3"/>
  <c r="M142" i="3"/>
  <c r="P46" i="6"/>
  <c r="P53" i="6"/>
  <c r="M29" i="6"/>
  <c r="M73" i="6"/>
  <c r="P29" i="6"/>
  <c r="P73" i="6"/>
  <c r="M41" i="3"/>
  <c r="M139" i="3"/>
  <c r="O31" i="3"/>
  <c r="O106" i="3"/>
  <c r="M106" i="3"/>
  <c r="M117" i="3"/>
  <c r="P178" i="5"/>
  <c r="P181" i="5"/>
  <c r="P186" i="5"/>
  <c r="P179" i="5"/>
  <c r="P182" i="5"/>
  <c r="P180" i="5"/>
  <c r="P185" i="5"/>
  <c r="Q197" i="5" l="1"/>
  <c r="N191" i="5"/>
  <c r="P191" i="5" s="1"/>
  <c r="Q191" i="5"/>
  <c r="Q192" i="5"/>
  <c r="O198" i="5"/>
  <c r="P198" i="5" s="1"/>
  <c r="E219" i="5"/>
  <c r="U219" i="5" s="1"/>
  <c r="O192" i="5"/>
  <c r="P192" i="5" s="1"/>
  <c r="Q198" i="5"/>
  <c r="O196" i="5"/>
  <c r="N196" i="5"/>
  <c r="P196" i="5" s="1"/>
  <c r="Q193" i="5"/>
  <c r="N193" i="5"/>
  <c r="P193" i="5" s="1"/>
  <c r="O194" i="5"/>
  <c r="P194" i="5" s="1"/>
  <c r="Q195" i="5"/>
  <c r="N195" i="5"/>
  <c r="P195" i="5" s="1"/>
  <c r="Q219" i="5"/>
  <c r="Q194" i="5"/>
  <c r="C102" i="3"/>
  <c r="D102" i="3"/>
  <c r="E102" i="3"/>
  <c r="F102" i="3"/>
  <c r="H102" i="3"/>
  <c r="N102" i="3"/>
  <c r="P102" i="3"/>
  <c r="J94" i="1"/>
  <c r="L94" i="1" s="1"/>
  <c r="D94" i="1"/>
  <c r="N94" i="1"/>
  <c r="O94" i="1"/>
  <c r="P94" i="1"/>
  <c r="Q94" i="1"/>
  <c r="R94" i="1"/>
  <c r="C193" i="3"/>
  <c r="D193" i="3"/>
  <c r="E193" i="3"/>
  <c r="F193" i="3"/>
  <c r="H193" i="3"/>
  <c r="N193" i="3"/>
  <c r="P193" i="3"/>
  <c r="T219" i="5" l="1"/>
  <c r="O219" i="5"/>
  <c r="S219" i="5"/>
  <c r="N219" i="5"/>
  <c r="M102" i="3"/>
  <c r="O102" i="3"/>
  <c r="O193" i="3"/>
  <c r="M193" i="3"/>
  <c r="P219" i="5" l="1"/>
  <c r="P185" i="3"/>
  <c r="P45" i="3"/>
  <c r="P145" i="3"/>
  <c r="P123" i="3"/>
  <c r="P110" i="3"/>
  <c r="P58" i="3"/>
  <c r="P198" i="3"/>
  <c r="P130" i="3"/>
  <c r="P68" i="3"/>
  <c r="P129" i="3"/>
  <c r="P111" i="3"/>
  <c r="P190" i="3"/>
  <c r="P159" i="3"/>
  <c r="P33" i="3"/>
  <c r="P178" i="3"/>
  <c r="P168" i="3"/>
  <c r="P99" i="3"/>
  <c r="P49" i="3"/>
  <c r="P40" i="3"/>
  <c r="P103" i="3"/>
  <c r="P90" i="3"/>
  <c r="P35" i="3"/>
  <c r="P22" i="3"/>
  <c r="P52" i="3"/>
  <c r="P85" i="3"/>
  <c r="P55" i="3"/>
  <c r="P197" i="3"/>
  <c r="P116" i="3"/>
  <c r="P83" i="3"/>
  <c r="P126" i="3"/>
  <c r="P188" i="3"/>
  <c r="P187" i="3"/>
  <c r="P113" i="3"/>
  <c r="P32" i="3"/>
  <c r="P69" i="3"/>
  <c r="P29" i="3"/>
  <c r="P115" i="3"/>
  <c r="P165" i="3"/>
  <c r="P183" i="3"/>
  <c r="P43" i="3"/>
  <c r="P114" i="3"/>
  <c r="P60" i="3"/>
  <c r="P98" i="3"/>
  <c r="P149" i="3"/>
  <c r="P57" i="3"/>
  <c r="P23" i="3"/>
  <c r="P167" i="3"/>
  <c r="P71" i="3"/>
  <c r="P108" i="3"/>
  <c r="P39" i="3"/>
  <c r="P131" i="3"/>
  <c r="P119" i="3"/>
  <c r="P67" i="3"/>
  <c r="P93" i="3"/>
  <c r="P124" i="3"/>
  <c r="P63" i="3"/>
  <c r="P138" i="3"/>
  <c r="P161" i="3"/>
  <c r="P59" i="3"/>
  <c r="P181" i="3"/>
  <c r="P132" i="3"/>
  <c r="P56" i="3"/>
  <c r="P195" i="3"/>
  <c r="P38" i="3"/>
  <c r="P192" i="3"/>
  <c r="P155" i="3"/>
  <c r="P158" i="3"/>
  <c r="P172" i="3"/>
  <c r="P194" i="3"/>
  <c r="P177" i="3"/>
  <c r="P42" i="3"/>
  <c r="P34" i="3"/>
  <c r="P15" i="3"/>
  <c r="P199" i="3"/>
  <c r="P121" i="3"/>
  <c r="P75" i="3"/>
  <c r="P21" i="3"/>
  <c r="P176" i="3"/>
  <c r="P184" i="3"/>
  <c r="P128" i="3"/>
  <c r="P20" i="3"/>
  <c r="P162" i="3"/>
  <c r="P118" i="3"/>
  <c r="P76" i="3"/>
  <c r="P153" i="3"/>
  <c r="P122" i="3"/>
  <c r="P191" i="3"/>
  <c r="P143" i="3"/>
  <c r="P66" i="3"/>
  <c r="P62" i="3"/>
  <c r="P135" i="3"/>
  <c r="P87" i="3"/>
  <c r="P53" i="3"/>
  <c r="P105" i="3"/>
  <c r="P70" i="3"/>
  <c r="P54" i="3"/>
  <c r="P92" i="3"/>
  <c r="P82" i="3"/>
  <c r="P112" i="3"/>
  <c r="P37" i="3"/>
  <c r="P96" i="3"/>
  <c r="P156" i="3"/>
  <c r="P19" i="3"/>
  <c r="P44" i="3"/>
  <c r="P166" i="3"/>
  <c r="P146" i="3"/>
  <c r="P170" i="3"/>
  <c r="P174" i="3"/>
  <c r="P50" i="3"/>
  <c r="P104" i="3"/>
  <c r="P48" i="3"/>
  <c r="P61" i="3"/>
  <c r="P160" i="3"/>
  <c r="P147" i="3"/>
  <c r="P141" i="3"/>
  <c r="P28" i="3"/>
  <c r="P16" i="3"/>
  <c r="P186" i="3"/>
  <c r="P109" i="3"/>
  <c r="P27" i="3"/>
  <c r="P91" i="3"/>
  <c r="P136" i="3"/>
  <c r="P150" i="3"/>
  <c r="P88" i="3"/>
  <c r="P152" i="3"/>
  <c r="P127" i="3"/>
  <c r="P164" i="3"/>
  <c r="P154" i="3"/>
  <c r="P175" i="3"/>
  <c r="P36" i="3"/>
  <c r="P64" i="3"/>
  <c r="P72" i="3"/>
  <c r="P196" i="3"/>
  <c r="P171" i="3"/>
  <c r="P46" i="3"/>
  <c r="P65" i="3"/>
  <c r="P26" i="3"/>
  <c r="P101" i="3"/>
  <c r="P78" i="3"/>
  <c r="P24" i="3"/>
  <c r="P179" i="3"/>
  <c r="P180" i="3"/>
  <c r="P18" i="3"/>
  <c r="P81" i="3"/>
  <c r="P120" i="3"/>
  <c r="P89" i="3"/>
  <c r="P86" i="3"/>
  <c r="P137" i="3"/>
  <c r="P94" i="3"/>
  <c r="P25" i="3"/>
  <c r="P30" i="3"/>
  <c r="P173" i="3"/>
  <c r="P74" i="3"/>
  <c r="P107" i="3"/>
  <c r="P95" i="3"/>
  <c r="P84" i="3"/>
  <c r="P148" i="3"/>
  <c r="P51" i="3"/>
  <c r="P134" i="3"/>
  <c r="P80" i="3"/>
  <c r="P17" i="3"/>
  <c r="P97" i="3"/>
  <c r="P144" i="3"/>
  <c r="P125" i="3"/>
  <c r="P47" i="3"/>
  <c r="P157" i="3"/>
  <c r="P200" i="3"/>
  <c r="P140" i="3"/>
  <c r="P100" i="3"/>
  <c r="P79" i="3"/>
  <c r="P77" i="3"/>
  <c r="P182" i="3"/>
  <c r="P133" i="3"/>
  <c r="AF104" i="4"/>
  <c r="AL104" i="4" s="1"/>
  <c r="AH104" i="4"/>
  <c r="AI104" i="4"/>
  <c r="R83" i="14"/>
  <c r="T83" i="14"/>
  <c r="U83" i="14"/>
  <c r="V83" i="14"/>
  <c r="W83" i="14"/>
  <c r="D86" i="1"/>
  <c r="J86" i="1"/>
  <c r="L86" i="1" s="1"/>
  <c r="N86" i="1"/>
  <c r="O86" i="1"/>
  <c r="P86" i="1"/>
  <c r="Q86" i="1"/>
  <c r="R86" i="1"/>
  <c r="R73" i="14"/>
  <c r="T73" i="14"/>
  <c r="U73" i="14"/>
  <c r="V73" i="14"/>
  <c r="W73" i="14"/>
  <c r="R46" i="14"/>
  <c r="T46" i="14"/>
  <c r="U46" i="14"/>
  <c r="V46" i="14"/>
  <c r="W46" i="14"/>
  <c r="R3" i="14"/>
  <c r="T3" i="14"/>
  <c r="U3" i="14"/>
  <c r="V3" i="14"/>
  <c r="W3" i="14"/>
  <c r="R43" i="14"/>
  <c r="T43" i="14"/>
  <c r="U43" i="14"/>
  <c r="V43" i="14"/>
  <c r="W43" i="14"/>
  <c r="R41" i="14"/>
  <c r="T41" i="14"/>
  <c r="U41" i="14"/>
  <c r="V41" i="14"/>
  <c r="W41" i="14"/>
  <c r="R2" i="14"/>
  <c r="T2" i="14"/>
  <c r="U2" i="14"/>
  <c r="V2" i="14"/>
  <c r="W2" i="14"/>
  <c r="R56" i="14"/>
  <c r="T56" i="14"/>
  <c r="U56" i="14"/>
  <c r="V56" i="14"/>
  <c r="W56" i="14"/>
  <c r="R53" i="14"/>
  <c r="T53" i="14"/>
  <c r="U53" i="14"/>
  <c r="V53" i="14"/>
  <c r="W53" i="14"/>
  <c r="R66" i="14"/>
  <c r="T66" i="14"/>
  <c r="U66" i="14"/>
  <c r="V66" i="14"/>
  <c r="W66" i="14"/>
  <c r="R13" i="14"/>
  <c r="T13" i="14"/>
  <c r="U13" i="14"/>
  <c r="V13" i="14"/>
  <c r="W13" i="14"/>
  <c r="R42" i="14"/>
  <c r="T42" i="14"/>
  <c r="U42" i="14"/>
  <c r="V42" i="14"/>
  <c r="W42" i="14"/>
  <c r="R58" i="14"/>
  <c r="T58" i="14"/>
  <c r="U58" i="14"/>
  <c r="V58" i="14"/>
  <c r="W58" i="14"/>
  <c r="R60" i="14"/>
  <c r="T60" i="14"/>
  <c r="U60" i="14"/>
  <c r="V60" i="14"/>
  <c r="W60" i="14"/>
  <c r="R20" i="14"/>
  <c r="T20" i="14"/>
  <c r="U20" i="14"/>
  <c r="V20" i="14"/>
  <c r="W20" i="14"/>
  <c r="R54" i="14"/>
  <c r="T54" i="14"/>
  <c r="U54" i="14"/>
  <c r="V54" i="14"/>
  <c r="W54" i="14"/>
  <c r="R47" i="14"/>
  <c r="T47" i="14"/>
  <c r="U47" i="14"/>
  <c r="V47" i="14"/>
  <c r="W47" i="14"/>
  <c r="R64" i="14"/>
  <c r="T64" i="14"/>
  <c r="U64" i="14"/>
  <c r="V64" i="14"/>
  <c r="W64" i="14"/>
  <c r="R37" i="14"/>
  <c r="T37" i="14"/>
  <c r="U37" i="14"/>
  <c r="V37" i="14"/>
  <c r="W37" i="14"/>
  <c r="R14" i="14"/>
  <c r="T14" i="14"/>
  <c r="U14" i="14"/>
  <c r="V14" i="14"/>
  <c r="W14" i="14"/>
  <c r="R39" i="14"/>
  <c r="T39" i="14"/>
  <c r="U39" i="14"/>
  <c r="V39" i="14"/>
  <c r="W39" i="14"/>
  <c r="R71" i="14"/>
  <c r="T71" i="14"/>
  <c r="U71" i="14"/>
  <c r="V71" i="14"/>
  <c r="W71" i="14"/>
  <c r="R36" i="14"/>
  <c r="T36" i="14"/>
  <c r="U36" i="14"/>
  <c r="V36" i="14"/>
  <c r="W36" i="14"/>
  <c r="R76" i="14"/>
  <c r="T76" i="14"/>
  <c r="U76" i="14"/>
  <c r="V76" i="14"/>
  <c r="W76" i="14"/>
  <c r="R44" i="14"/>
  <c r="T44" i="14"/>
  <c r="U44" i="14"/>
  <c r="V44" i="14"/>
  <c r="W44" i="14"/>
  <c r="R63" i="14"/>
  <c r="T63" i="14"/>
  <c r="U63" i="14"/>
  <c r="V63" i="14"/>
  <c r="W63" i="14"/>
  <c r="R50" i="14"/>
  <c r="T50" i="14"/>
  <c r="U50" i="14"/>
  <c r="V50" i="14"/>
  <c r="W50" i="14"/>
  <c r="R38" i="14"/>
  <c r="T38" i="14"/>
  <c r="U38" i="14"/>
  <c r="V38" i="14"/>
  <c r="W38" i="14"/>
  <c r="R74" i="14"/>
  <c r="T74" i="14"/>
  <c r="U74" i="14"/>
  <c r="V74" i="14"/>
  <c r="W74" i="14"/>
  <c r="R35" i="14"/>
  <c r="T35" i="14"/>
  <c r="U35" i="14"/>
  <c r="V35" i="14"/>
  <c r="W35" i="14"/>
  <c r="R19" i="14"/>
  <c r="T19" i="14"/>
  <c r="U19" i="14"/>
  <c r="V19" i="14"/>
  <c r="W19" i="14"/>
  <c r="R77" i="14"/>
  <c r="T77" i="14"/>
  <c r="U77" i="14"/>
  <c r="V77" i="14"/>
  <c r="W77" i="14"/>
  <c r="R32" i="14"/>
  <c r="T32" i="14"/>
  <c r="U32" i="14"/>
  <c r="V32" i="14"/>
  <c r="W32" i="14"/>
  <c r="R51" i="14"/>
  <c r="T51" i="14"/>
  <c r="U51" i="14"/>
  <c r="V51" i="14"/>
  <c r="W51" i="14"/>
  <c r="R40" i="14"/>
  <c r="T40" i="14"/>
  <c r="U40" i="14"/>
  <c r="V40" i="14"/>
  <c r="W40" i="14"/>
  <c r="R10" i="14"/>
  <c r="T10" i="14"/>
  <c r="U10" i="14"/>
  <c r="V10" i="14"/>
  <c r="W10" i="14"/>
  <c r="R17" i="14"/>
  <c r="T17" i="14"/>
  <c r="U17" i="14"/>
  <c r="V17" i="14"/>
  <c r="W17" i="14"/>
  <c r="R11" i="14"/>
  <c r="T11" i="14"/>
  <c r="U11" i="14"/>
  <c r="V11" i="14"/>
  <c r="W11" i="14"/>
  <c r="R28" i="14"/>
  <c r="T28" i="14"/>
  <c r="U28" i="14"/>
  <c r="V28" i="14"/>
  <c r="W28" i="14"/>
  <c r="R59" i="14"/>
  <c r="T59" i="14"/>
  <c r="U59" i="14"/>
  <c r="V59" i="14"/>
  <c r="W59" i="14"/>
  <c r="R15" i="14"/>
  <c r="T15" i="14"/>
  <c r="U15" i="14"/>
  <c r="V15" i="14"/>
  <c r="W15" i="14"/>
  <c r="R67" i="14"/>
  <c r="T67" i="14"/>
  <c r="U67" i="14"/>
  <c r="V67" i="14"/>
  <c r="W67" i="14"/>
  <c r="R22" i="14"/>
  <c r="T22" i="14"/>
  <c r="U22" i="14"/>
  <c r="V22" i="14"/>
  <c r="W22" i="14"/>
  <c r="R24" i="14"/>
  <c r="T24" i="14"/>
  <c r="U24" i="14"/>
  <c r="V24" i="14"/>
  <c r="W24" i="14"/>
  <c r="R26" i="14"/>
  <c r="T26" i="14"/>
  <c r="U26" i="14"/>
  <c r="V26" i="14"/>
  <c r="W26" i="14"/>
  <c r="R52" i="14"/>
  <c r="T52" i="14"/>
  <c r="U52" i="14"/>
  <c r="V52" i="14"/>
  <c r="W52" i="14"/>
  <c r="R7" i="14"/>
  <c r="T7" i="14"/>
  <c r="U7" i="14"/>
  <c r="V7" i="14"/>
  <c r="W7" i="14"/>
  <c r="R8" i="14"/>
  <c r="T8" i="14"/>
  <c r="U8" i="14"/>
  <c r="V8" i="14"/>
  <c r="W8" i="14"/>
  <c r="R34" i="14"/>
  <c r="T34" i="14"/>
  <c r="U34" i="14"/>
  <c r="V34" i="14"/>
  <c r="W34" i="14"/>
  <c r="R65" i="14"/>
  <c r="T65" i="14"/>
  <c r="U65" i="14"/>
  <c r="V65" i="14"/>
  <c r="W65" i="14"/>
  <c r="R68" i="14"/>
  <c r="T68" i="14"/>
  <c r="U68" i="14"/>
  <c r="V68" i="14"/>
  <c r="W68" i="14"/>
  <c r="R78" i="14"/>
  <c r="T78" i="14"/>
  <c r="U78" i="14"/>
  <c r="V78" i="14"/>
  <c r="W78" i="14"/>
  <c r="R81" i="14"/>
  <c r="T81" i="14"/>
  <c r="U81" i="14"/>
  <c r="V81" i="14"/>
  <c r="W81" i="14"/>
  <c r="R21" i="14"/>
  <c r="T21" i="14"/>
  <c r="U21" i="14"/>
  <c r="V21" i="14"/>
  <c r="W21" i="14"/>
  <c r="R31" i="14"/>
  <c r="T31" i="14"/>
  <c r="U31" i="14"/>
  <c r="V31" i="14"/>
  <c r="W31" i="14"/>
  <c r="R27" i="14"/>
  <c r="T27" i="14"/>
  <c r="U27" i="14"/>
  <c r="V27" i="14"/>
  <c r="W27" i="14"/>
  <c r="R82" i="14"/>
  <c r="T82" i="14"/>
  <c r="U82" i="14"/>
  <c r="V82" i="14"/>
  <c r="W82" i="14"/>
  <c r="R23" i="14"/>
  <c r="T23" i="14"/>
  <c r="U23" i="14"/>
  <c r="V23" i="14"/>
  <c r="W23" i="14"/>
  <c r="R18" i="14"/>
  <c r="T18" i="14"/>
  <c r="U18" i="14"/>
  <c r="V18" i="14"/>
  <c r="W18" i="14"/>
  <c r="R69" i="14"/>
  <c r="T69" i="14"/>
  <c r="U69" i="14"/>
  <c r="V69" i="14"/>
  <c r="W69" i="14"/>
  <c r="R70" i="14"/>
  <c r="T70" i="14"/>
  <c r="U70" i="14"/>
  <c r="V70" i="14"/>
  <c r="W70" i="14"/>
  <c r="R5" i="14"/>
  <c r="T5" i="14"/>
  <c r="U5" i="14"/>
  <c r="V5" i="14"/>
  <c r="W5" i="14"/>
  <c r="R4" i="14"/>
  <c r="T4" i="14"/>
  <c r="U4" i="14"/>
  <c r="V4" i="14"/>
  <c r="W4" i="14"/>
  <c r="R16" i="14"/>
  <c r="T16" i="14"/>
  <c r="U16" i="14"/>
  <c r="V16" i="14"/>
  <c r="W16" i="14"/>
  <c r="R29" i="14"/>
  <c r="T29" i="14"/>
  <c r="U29" i="14"/>
  <c r="V29" i="14"/>
  <c r="W29" i="14"/>
  <c r="R55" i="14"/>
  <c r="T55" i="14"/>
  <c r="U55" i="14"/>
  <c r="V55" i="14"/>
  <c r="W55" i="14"/>
  <c r="R49" i="14"/>
  <c r="T49" i="14"/>
  <c r="U49" i="14"/>
  <c r="V49" i="14"/>
  <c r="W49" i="14"/>
  <c r="R9" i="14"/>
  <c r="T9" i="14"/>
  <c r="U9" i="14"/>
  <c r="V9" i="14"/>
  <c r="W9" i="14"/>
  <c r="R75" i="14"/>
  <c r="T75" i="14"/>
  <c r="U75" i="14"/>
  <c r="V75" i="14"/>
  <c r="W75" i="14"/>
  <c r="R79" i="14"/>
  <c r="T79" i="14"/>
  <c r="U79" i="14"/>
  <c r="V79" i="14"/>
  <c r="W79" i="14"/>
  <c r="R80" i="14"/>
  <c r="T80" i="14"/>
  <c r="U80" i="14"/>
  <c r="V80" i="14"/>
  <c r="W80" i="14"/>
  <c r="R12" i="14"/>
  <c r="T12" i="14"/>
  <c r="U12" i="14"/>
  <c r="V12" i="14"/>
  <c r="W12" i="14"/>
  <c r="R57" i="14"/>
  <c r="T57" i="14"/>
  <c r="U57" i="14"/>
  <c r="V57" i="14"/>
  <c r="W57" i="14"/>
  <c r="R61" i="14"/>
  <c r="T61" i="14"/>
  <c r="U61" i="14"/>
  <c r="V61" i="14"/>
  <c r="W61" i="14"/>
  <c r="R45" i="14"/>
  <c r="T45" i="14"/>
  <c r="U45" i="14"/>
  <c r="V45" i="14"/>
  <c r="W45" i="14"/>
  <c r="R6" i="14"/>
  <c r="T6" i="14"/>
  <c r="U6" i="14"/>
  <c r="V6" i="14"/>
  <c r="W6" i="14"/>
  <c r="R30" i="14"/>
  <c r="T30" i="14"/>
  <c r="U30" i="14"/>
  <c r="V30" i="14"/>
  <c r="W30" i="14"/>
  <c r="R25" i="14"/>
  <c r="T25" i="14"/>
  <c r="U25" i="14"/>
  <c r="V25" i="14"/>
  <c r="W25" i="14"/>
  <c r="R33" i="14"/>
  <c r="T33" i="14"/>
  <c r="U33" i="14"/>
  <c r="V33" i="14"/>
  <c r="W33" i="14"/>
  <c r="R62" i="14"/>
  <c r="T62" i="14"/>
  <c r="U62" i="14"/>
  <c r="V62" i="14"/>
  <c r="W62" i="14"/>
  <c r="C140" i="3"/>
  <c r="D140" i="3"/>
  <c r="E140" i="3"/>
  <c r="F140" i="3"/>
  <c r="H140" i="3"/>
  <c r="N140" i="3"/>
  <c r="D93" i="1"/>
  <c r="J93" i="1"/>
  <c r="L93" i="1" s="1"/>
  <c r="N93" i="1"/>
  <c r="O93" i="1"/>
  <c r="P93" i="1"/>
  <c r="Q93" i="1"/>
  <c r="R93" i="1"/>
  <c r="S83" i="14" l="1"/>
  <c r="AG104" i="4"/>
  <c r="AJ104" i="4" s="1"/>
  <c r="S21" i="14"/>
  <c r="S11" i="14"/>
  <c r="S49" i="14"/>
  <c r="S31" i="14"/>
  <c r="S75" i="14"/>
  <c r="S30" i="14"/>
  <c r="S80" i="14"/>
  <c r="S57" i="14"/>
  <c r="S19" i="14"/>
  <c r="S50" i="14"/>
  <c r="S13" i="14"/>
  <c r="S46" i="14"/>
  <c r="S33" i="14"/>
  <c r="S68" i="14"/>
  <c r="S79" i="14"/>
  <c r="S23" i="14"/>
  <c r="S65" i="14"/>
  <c r="S67" i="14"/>
  <c r="S55" i="14"/>
  <c r="S25" i="14"/>
  <c r="S51" i="14"/>
  <c r="S63" i="14"/>
  <c r="S71" i="14"/>
  <c r="S64" i="14"/>
  <c r="S66" i="14"/>
  <c r="S41" i="14"/>
  <c r="S73" i="14"/>
  <c r="S20" i="14"/>
  <c r="S2" i="14"/>
  <c r="S45" i="14"/>
  <c r="S4" i="14"/>
  <c r="S7" i="14"/>
  <c r="S28" i="14"/>
  <c r="S36" i="14"/>
  <c r="S61" i="14"/>
  <c r="S5" i="14"/>
  <c r="S18" i="14"/>
  <c r="S52" i="14"/>
  <c r="S22" i="14"/>
  <c r="S40" i="14"/>
  <c r="S35" i="14"/>
  <c r="S37" i="14"/>
  <c r="S60" i="14"/>
  <c r="S29" i="14"/>
  <c r="S70" i="14"/>
  <c r="S82" i="14"/>
  <c r="S81" i="14"/>
  <c r="S34" i="14"/>
  <c r="S26" i="14"/>
  <c r="S15" i="14"/>
  <c r="S17" i="14"/>
  <c r="S32" i="14"/>
  <c r="S74" i="14"/>
  <c r="S44" i="14"/>
  <c r="S39" i="14"/>
  <c r="S47" i="14"/>
  <c r="S58" i="14"/>
  <c r="S53" i="14"/>
  <c r="S43" i="14"/>
  <c r="S62" i="14"/>
  <c r="S6" i="14"/>
  <c r="S12" i="14"/>
  <c r="S9" i="14"/>
  <c r="S16" i="14"/>
  <c r="S69" i="14"/>
  <c r="S27" i="14"/>
  <c r="S78" i="14"/>
  <c r="S8" i="14"/>
  <c r="S24" i="14"/>
  <c r="S59" i="14"/>
  <c r="S10" i="14"/>
  <c r="S77" i="14"/>
  <c r="S38" i="14"/>
  <c r="S76" i="14"/>
  <c r="S14" i="14"/>
  <c r="S54" i="14"/>
  <c r="S42" i="14"/>
  <c r="S56" i="14"/>
  <c r="S3" i="14"/>
  <c r="O140" i="3"/>
  <c r="M140" i="3"/>
  <c r="J273" i="4"/>
  <c r="R48" i="14" l="1"/>
  <c r="T48" i="14"/>
  <c r="U48" i="14"/>
  <c r="V48" i="14"/>
  <c r="W48" i="14"/>
  <c r="R72" i="14"/>
  <c r="T72" i="14"/>
  <c r="U72" i="14"/>
  <c r="V72" i="14"/>
  <c r="W72" i="14"/>
  <c r="J268" i="4"/>
  <c r="U204" i="5"/>
  <c r="U205" i="5"/>
  <c r="U206" i="5"/>
  <c r="U207" i="5"/>
  <c r="U208" i="5"/>
  <c r="U209" i="5"/>
  <c r="U210" i="5"/>
  <c r="U211" i="5"/>
  <c r="U212" i="5"/>
  <c r="U213" i="5"/>
  <c r="U214" i="5"/>
  <c r="U215" i="5"/>
  <c r="U216" i="5"/>
  <c r="U217" i="5"/>
  <c r="T204" i="5"/>
  <c r="T205" i="5"/>
  <c r="T206" i="5"/>
  <c r="T207" i="5"/>
  <c r="T208" i="5"/>
  <c r="T209" i="5"/>
  <c r="T210" i="5"/>
  <c r="T211" i="5"/>
  <c r="T212" i="5"/>
  <c r="T213" i="5"/>
  <c r="T214" i="5"/>
  <c r="T215" i="5"/>
  <c r="T216" i="5"/>
  <c r="T217" i="5"/>
  <c r="S204" i="5"/>
  <c r="S205" i="5"/>
  <c r="S206" i="5"/>
  <c r="S207" i="5"/>
  <c r="S208" i="5"/>
  <c r="S209" i="5"/>
  <c r="S210" i="5"/>
  <c r="S211" i="5"/>
  <c r="S212" i="5"/>
  <c r="S213" i="5"/>
  <c r="S214" i="5"/>
  <c r="S215" i="5"/>
  <c r="S216" i="5"/>
  <c r="S217" i="5"/>
  <c r="C134" i="3"/>
  <c r="C17" i="3"/>
  <c r="D134" i="3"/>
  <c r="D17" i="3"/>
  <c r="E134" i="3"/>
  <c r="E17" i="3"/>
  <c r="F134" i="3"/>
  <c r="F17" i="3"/>
  <c r="H134" i="3"/>
  <c r="H17" i="3"/>
  <c r="N134" i="3"/>
  <c r="N17" i="3"/>
  <c r="D97" i="1"/>
  <c r="J97" i="1"/>
  <c r="N97" i="1"/>
  <c r="O97" i="1"/>
  <c r="P97" i="1"/>
  <c r="Q97" i="1"/>
  <c r="R97" i="1"/>
  <c r="D89" i="1"/>
  <c r="D91" i="1"/>
  <c r="J91" i="1"/>
  <c r="L91" i="1" s="1"/>
  <c r="J89" i="1"/>
  <c r="L89" i="1" s="1"/>
  <c r="N91" i="1"/>
  <c r="N89" i="1"/>
  <c r="O91" i="1"/>
  <c r="O89" i="1"/>
  <c r="P91" i="1"/>
  <c r="P89" i="1"/>
  <c r="Q91" i="1"/>
  <c r="Q89" i="1"/>
  <c r="R91" i="1"/>
  <c r="R89" i="1"/>
  <c r="L97" i="1" l="1"/>
  <c r="X83" i="14"/>
  <c r="Y83" i="14"/>
  <c r="Z83" i="14"/>
  <c r="Y68" i="14"/>
  <c r="Y40" i="14"/>
  <c r="Y56" i="14"/>
  <c r="Y20" i="14"/>
  <c r="Y11" i="14"/>
  <c r="Y35" i="14"/>
  <c r="Y10" i="14"/>
  <c r="Y23" i="14"/>
  <c r="Y8" i="14"/>
  <c r="Y57" i="14"/>
  <c r="Y82" i="14"/>
  <c r="Y15" i="14"/>
  <c r="Y4" i="14"/>
  <c r="Y60" i="14"/>
  <c r="Y43" i="14"/>
  <c r="Y39" i="14"/>
  <c r="Y2" i="14"/>
  <c r="Y75" i="14"/>
  <c r="Y46" i="14"/>
  <c r="Y33" i="14"/>
  <c r="Y50" i="14"/>
  <c r="Y24" i="14"/>
  <c r="Y42" i="14"/>
  <c r="Y12" i="14"/>
  <c r="Y64" i="14"/>
  <c r="Y59" i="14"/>
  <c r="Y17" i="14"/>
  <c r="Y31" i="14"/>
  <c r="Y37" i="14"/>
  <c r="Y44" i="14"/>
  <c r="Y21" i="14"/>
  <c r="Y63" i="14"/>
  <c r="Y81" i="14"/>
  <c r="Y80" i="14"/>
  <c r="Y13" i="14"/>
  <c r="Y73" i="14"/>
  <c r="Y7" i="14"/>
  <c r="Y27" i="14"/>
  <c r="Y52" i="14"/>
  <c r="Y78" i="14"/>
  <c r="Y16" i="14"/>
  <c r="Y79" i="14"/>
  <c r="Y49" i="14"/>
  <c r="Y38" i="14"/>
  <c r="Y71" i="14"/>
  <c r="Y51" i="14"/>
  <c r="Y76" i="14"/>
  <c r="Y3" i="14"/>
  <c r="Y28" i="14"/>
  <c r="Y54" i="14"/>
  <c r="Y61" i="14"/>
  <c r="Y29" i="14"/>
  <c r="Y34" i="14"/>
  <c r="Y32" i="14"/>
  <c r="Y18" i="14"/>
  <c r="Y14" i="14"/>
  <c r="Y67" i="14"/>
  <c r="Y55" i="14"/>
  <c r="Y74" i="14"/>
  <c r="Y22" i="14"/>
  <c r="Y9" i="14"/>
  <c r="Y66" i="14"/>
  <c r="Y5" i="14"/>
  <c r="Y36" i="14"/>
  <c r="Y69" i="14"/>
  <c r="Y47" i="14"/>
  <c r="Y58" i="14"/>
  <c r="Y45" i="14"/>
  <c r="Y77" i="14"/>
  <c r="Y30" i="14"/>
  <c r="Y70" i="14"/>
  <c r="Y26" i="14"/>
  <c r="Y65" i="14"/>
  <c r="Y62" i="14"/>
  <c r="Y19" i="14"/>
  <c r="Y53" i="14"/>
  <c r="Y6" i="14"/>
  <c r="Y41" i="14"/>
  <c r="O28" i="14" s="1"/>
  <c r="Y25" i="14"/>
  <c r="Z20" i="14"/>
  <c r="Z8" i="14"/>
  <c r="Z24" i="14"/>
  <c r="Z12" i="14"/>
  <c r="Z56" i="14"/>
  <c r="Z35" i="14"/>
  <c r="Z22" i="14"/>
  <c r="Z31" i="14"/>
  <c r="Z51" i="14"/>
  <c r="Z73" i="14"/>
  <c r="Z63" i="14"/>
  <c r="Z60" i="14"/>
  <c r="Z68" i="14"/>
  <c r="Z14" i="14"/>
  <c r="Z43" i="14"/>
  <c r="Z2" i="14"/>
  <c r="Z19" i="14"/>
  <c r="Z70" i="14"/>
  <c r="Z32" i="14"/>
  <c r="Z3" i="14"/>
  <c r="Z66" i="14"/>
  <c r="Z17" i="14"/>
  <c r="Z11" i="14"/>
  <c r="Z80" i="14"/>
  <c r="Z33" i="14"/>
  <c r="Z27" i="14"/>
  <c r="Z9" i="14"/>
  <c r="Z77" i="14"/>
  <c r="Z13" i="14"/>
  <c r="Z38" i="14"/>
  <c r="Z75" i="14"/>
  <c r="Z76" i="14"/>
  <c r="Z45" i="14"/>
  <c r="Z67" i="14"/>
  <c r="Z61" i="14"/>
  <c r="Z74" i="14"/>
  <c r="Z55" i="14"/>
  <c r="Z6" i="14"/>
  <c r="Z18" i="14"/>
  <c r="Z34" i="14"/>
  <c r="Z37" i="14"/>
  <c r="Z10" i="14"/>
  <c r="Z26" i="14"/>
  <c r="Z44" i="14"/>
  <c r="Z25" i="14"/>
  <c r="Z81" i="14"/>
  <c r="Z7" i="14"/>
  <c r="Z16" i="14"/>
  <c r="Z71" i="14"/>
  <c r="Z4" i="14"/>
  <c r="Z47" i="14"/>
  <c r="Z36" i="14"/>
  <c r="Z46" i="14"/>
  <c r="Z28" i="14"/>
  <c r="Z57" i="14"/>
  <c r="Z21" i="14"/>
  <c r="Z62" i="14"/>
  <c r="Z49" i="14"/>
  <c r="Z39" i="14"/>
  <c r="Z65" i="14"/>
  <c r="Z5" i="14"/>
  <c r="Z79" i="14"/>
  <c r="Z23" i="14"/>
  <c r="Z30" i="14"/>
  <c r="Z42" i="14"/>
  <c r="Z78" i="14"/>
  <c r="Z52" i="14"/>
  <c r="Z41" i="14"/>
  <c r="Z50" i="14"/>
  <c r="Z69" i="14"/>
  <c r="Z59" i="14"/>
  <c r="Z64" i="14"/>
  <c r="Z82" i="14"/>
  <c r="Z53" i="14"/>
  <c r="Z15" i="14"/>
  <c r="Z54" i="14"/>
  <c r="Z29" i="14"/>
  <c r="Z40" i="14"/>
  <c r="Z58" i="14"/>
  <c r="X6" i="14"/>
  <c r="X8" i="14"/>
  <c r="X39" i="14"/>
  <c r="X69" i="14"/>
  <c r="X40" i="14"/>
  <c r="X56" i="14"/>
  <c r="X3" i="14"/>
  <c r="X50" i="14"/>
  <c r="X51" i="14"/>
  <c r="X66" i="14"/>
  <c r="X28" i="14"/>
  <c r="X79" i="14"/>
  <c r="X20" i="14"/>
  <c r="X38" i="14"/>
  <c r="X61" i="14"/>
  <c r="X74" i="14"/>
  <c r="X41" i="14"/>
  <c r="X45" i="14"/>
  <c r="X46" i="14"/>
  <c r="X2" i="14"/>
  <c r="X53" i="14"/>
  <c r="X27" i="14"/>
  <c r="X57" i="14"/>
  <c r="X43" i="14"/>
  <c r="X75" i="14"/>
  <c r="X68" i="14"/>
  <c r="X54" i="14"/>
  <c r="X13" i="14"/>
  <c r="X34" i="14"/>
  <c r="X42" i="14"/>
  <c r="X31" i="14"/>
  <c r="X35" i="14"/>
  <c r="X73" i="14"/>
  <c r="X16" i="14"/>
  <c r="X17" i="14"/>
  <c r="X25" i="14"/>
  <c r="X15" i="14"/>
  <c r="X65" i="14"/>
  <c r="X76" i="14"/>
  <c r="X33" i="14"/>
  <c r="X21" i="14"/>
  <c r="X9" i="14"/>
  <c r="X37" i="14"/>
  <c r="X82" i="14"/>
  <c r="P82" i="14" s="1"/>
  <c r="X7" i="14"/>
  <c r="X24" i="14"/>
  <c r="X26" i="14"/>
  <c r="X5" i="14"/>
  <c r="X18" i="14"/>
  <c r="X14" i="14"/>
  <c r="X23" i="14"/>
  <c r="X77" i="14"/>
  <c r="X80" i="14"/>
  <c r="X30" i="14"/>
  <c r="X64" i="14"/>
  <c r="X67" i="14"/>
  <c r="X4" i="14"/>
  <c r="X63" i="14"/>
  <c r="X47" i="14"/>
  <c r="X29" i="14"/>
  <c r="X70" i="14"/>
  <c r="X11" i="14"/>
  <c r="X19" i="14"/>
  <c r="P79" i="14" s="1"/>
  <c r="X36" i="14"/>
  <c r="X81" i="14"/>
  <c r="X10" i="14"/>
  <c r="X71" i="14"/>
  <c r="X78" i="14"/>
  <c r="X32" i="14"/>
  <c r="P80" i="14" s="1"/>
  <c r="X12" i="14"/>
  <c r="X55" i="14"/>
  <c r="X59" i="14"/>
  <c r="X58" i="14"/>
  <c r="X62" i="14"/>
  <c r="X60" i="14"/>
  <c r="X22" i="14"/>
  <c r="X44" i="14"/>
  <c r="X52" i="14"/>
  <c r="X49" i="14"/>
  <c r="S72" i="14"/>
  <c r="S48" i="14"/>
  <c r="Z72" i="14"/>
  <c r="X72" i="14"/>
  <c r="Y48" i="14"/>
  <c r="O42" i="14" s="1"/>
  <c r="Y72" i="14"/>
  <c r="Z48" i="14"/>
  <c r="X48" i="14"/>
  <c r="O17" i="3"/>
  <c r="O134" i="3"/>
  <c r="M17" i="3"/>
  <c r="M134" i="3"/>
  <c r="O59" i="14" l="1"/>
  <c r="P35" i="14"/>
  <c r="P8" i="14"/>
  <c r="P64" i="14"/>
  <c r="P39" i="14"/>
  <c r="P51" i="14"/>
  <c r="P42" i="14"/>
  <c r="P76" i="14"/>
  <c r="P24" i="14"/>
  <c r="P3" i="14"/>
  <c r="O73" i="14"/>
  <c r="O35" i="14"/>
  <c r="P19" i="14"/>
  <c r="P75" i="14"/>
  <c r="P20" i="14"/>
  <c r="P57" i="14"/>
  <c r="P25" i="14"/>
  <c r="P13" i="14"/>
  <c r="O11" i="14"/>
  <c r="O23" i="14"/>
  <c r="P21" i="14"/>
  <c r="P72" i="14"/>
  <c r="P50" i="14"/>
  <c r="P61" i="14"/>
  <c r="P63" i="14"/>
  <c r="P5" i="14"/>
  <c r="P10" i="14"/>
  <c r="O22" i="14"/>
  <c r="P43" i="14"/>
  <c r="O64" i="14"/>
  <c r="P41" i="14"/>
  <c r="P49" i="14"/>
  <c r="P16" i="14"/>
  <c r="P81" i="14"/>
  <c r="P73" i="14"/>
  <c r="P23" i="14"/>
  <c r="P32" i="14"/>
  <c r="P66" i="14"/>
  <c r="P15" i="14"/>
  <c r="P54" i="14"/>
  <c r="P31" i="14"/>
  <c r="P68" i="14"/>
  <c r="P53" i="14"/>
  <c r="P52" i="14"/>
  <c r="P14" i="14"/>
  <c r="O77" i="14"/>
  <c r="P71" i="14"/>
  <c r="P6" i="14"/>
  <c r="P48" i="14"/>
  <c r="P18" i="14"/>
  <c r="P29" i="14"/>
  <c r="P22" i="14"/>
  <c r="P4" i="14"/>
  <c r="O9" i="14"/>
  <c r="P60" i="14"/>
  <c r="P69" i="14"/>
  <c r="P67" i="14"/>
  <c r="P7" i="14"/>
  <c r="P12" i="14"/>
  <c r="P9" i="14"/>
  <c r="P70" i="14"/>
  <c r="P56" i="14"/>
  <c r="O54" i="14"/>
  <c r="P30" i="14"/>
  <c r="P59" i="14"/>
  <c r="P38" i="14"/>
  <c r="P17" i="14"/>
  <c r="P34" i="14"/>
  <c r="P44" i="14"/>
  <c r="P11" i="14"/>
  <c r="P45" i="14"/>
  <c r="O72" i="14"/>
  <c r="P36" i="14"/>
  <c r="P40" i="14"/>
  <c r="P46" i="14"/>
  <c r="P2" i="14"/>
  <c r="P28" i="14"/>
  <c r="O6" i="14"/>
  <c r="P77" i="14"/>
  <c r="P47" i="14"/>
  <c r="O37" i="14"/>
  <c r="O83" i="14"/>
  <c r="P26" i="14"/>
  <c r="P37" i="14"/>
  <c r="P27" i="14"/>
  <c r="P58" i="14"/>
  <c r="P55" i="14"/>
  <c r="P65" i="14"/>
  <c r="P74" i="14"/>
  <c r="P33" i="14"/>
  <c r="P62" i="14"/>
  <c r="P78" i="14"/>
  <c r="O75" i="14"/>
  <c r="O47" i="14"/>
  <c r="O78" i="14"/>
  <c r="O66" i="14"/>
  <c r="P83" i="14"/>
  <c r="O27" i="14"/>
  <c r="O70" i="14"/>
  <c r="O71" i="14"/>
  <c r="O21" i="14"/>
  <c r="O63" i="14"/>
  <c r="O4" i="14"/>
  <c r="O62" i="14"/>
  <c r="O24" i="14"/>
  <c r="O40" i="14"/>
  <c r="O69" i="14"/>
  <c r="O58" i="14"/>
  <c r="O17" i="14"/>
  <c r="O45" i="14"/>
  <c r="O8" i="14"/>
  <c r="O48" i="14"/>
  <c r="O61" i="14"/>
  <c r="O46" i="14"/>
  <c r="O76" i="14"/>
  <c r="O39" i="14"/>
  <c r="O20" i="14"/>
  <c r="O13" i="14"/>
  <c r="O15" i="14"/>
  <c r="O29" i="14"/>
  <c r="O3" i="14"/>
  <c r="O38" i="14"/>
  <c r="O25" i="14"/>
  <c r="O52" i="14"/>
  <c r="O36" i="14"/>
  <c r="O14" i="14"/>
  <c r="O16" i="14"/>
  <c r="O53" i="14"/>
  <c r="O51" i="14"/>
  <c r="O12" i="14"/>
  <c r="O10" i="14"/>
  <c r="O44" i="14"/>
  <c r="O80" i="14"/>
  <c r="O41" i="14"/>
  <c r="O50" i="14"/>
  <c r="O43" i="14"/>
  <c r="O65" i="14"/>
  <c r="O67" i="14"/>
  <c r="O19" i="14"/>
  <c r="O31" i="14"/>
  <c r="O7" i="14"/>
  <c r="O57" i="14"/>
  <c r="O55" i="14"/>
  <c r="O26" i="14"/>
  <c r="O79" i="14"/>
  <c r="O34" i="14"/>
  <c r="O56" i="14"/>
  <c r="O32" i="14"/>
  <c r="O30" i="14"/>
  <c r="O81" i="14"/>
  <c r="O82" i="14"/>
  <c r="O49" i="14"/>
  <c r="O74" i="14"/>
  <c r="O18" i="14"/>
  <c r="O5" i="14"/>
  <c r="O68" i="14"/>
  <c r="O60" i="14"/>
  <c r="O33" i="14"/>
  <c r="O2" i="14"/>
  <c r="D85" i="1" l="1"/>
  <c r="J85" i="1"/>
  <c r="N85" i="1"/>
  <c r="O85" i="1"/>
  <c r="P85" i="1"/>
  <c r="Q85" i="1"/>
  <c r="R85" i="1"/>
  <c r="L85" i="1" l="1"/>
  <c r="C105" i="6"/>
  <c r="D105" i="6"/>
  <c r="E105" i="6"/>
  <c r="F105" i="6"/>
  <c r="H105" i="6"/>
  <c r="N105" i="6"/>
  <c r="C25" i="3"/>
  <c r="D25" i="3"/>
  <c r="E25" i="3"/>
  <c r="F25" i="3"/>
  <c r="H25" i="3"/>
  <c r="N25" i="3"/>
  <c r="D88" i="1"/>
  <c r="J88" i="1"/>
  <c r="L88" i="1" s="1"/>
  <c r="N88" i="1"/>
  <c r="O88" i="1"/>
  <c r="P88" i="1"/>
  <c r="Q88" i="1"/>
  <c r="R88" i="1"/>
  <c r="J264" i="4"/>
  <c r="P34" i="20" l="1"/>
  <c r="R34" i="20" s="1"/>
  <c r="P105" i="6"/>
  <c r="M25" i="3"/>
  <c r="M105" i="6"/>
  <c r="O25" i="3"/>
  <c r="C64" i="6"/>
  <c r="D64" i="6"/>
  <c r="E64" i="6"/>
  <c r="F64" i="6"/>
  <c r="H64" i="6"/>
  <c r="N64" i="6"/>
  <c r="P64" i="6" l="1"/>
  <c r="M64" i="6"/>
  <c r="W55" i="1"/>
  <c r="AA20" i="1" s="1"/>
  <c r="C90" i="6"/>
  <c r="D90" i="6"/>
  <c r="E90" i="6"/>
  <c r="F90" i="6"/>
  <c r="H90" i="6"/>
  <c r="N90" i="6"/>
  <c r="C101" i="3"/>
  <c r="C182" i="3"/>
  <c r="D101" i="3"/>
  <c r="D182" i="3"/>
  <c r="E101" i="3"/>
  <c r="E182" i="3"/>
  <c r="F101" i="3"/>
  <c r="F182" i="3"/>
  <c r="H101" i="3"/>
  <c r="H182" i="3"/>
  <c r="N101" i="3"/>
  <c r="N182" i="3"/>
  <c r="P90" i="6" l="1"/>
  <c r="O182" i="3"/>
  <c r="O101" i="3"/>
  <c r="M90" i="6"/>
  <c r="M182" i="3"/>
  <c r="M101" i="3"/>
  <c r="D96" i="1" l="1"/>
  <c r="D92" i="1"/>
  <c r="J92" i="1"/>
  <c r="N92" i="1"/>
  <c r="O92" i="1"/>
  <c r="P92" i="1"/>
  <c r="Q92" i="1"/>
  <c r="R92" i="1"/>
  <c r="J96" i="1"/>
  <c r="L96" i="1" s="1"/>
  <c r="N96" i="1"/>
  <c r="O96" i="1"/>
  <c r="P96" i="1"/>
  <c r="Q96" i="1"/>
  <c r="R96" i="1"/>
  <c r="D80" i="1"/>
  <c r="J80" i="1"/>
  <c r="N80" i="1"/>
  <c r="O80" i="1"/>
  <c r="P80" i="1"/>
  <c r="Q80" i="1"/>
  <c r="R80" i="1"/>
  <c r="J259" i="4"/>
  <c r="J277" i="4"/>
  <c r="J276" i="4"/>
  <c r="J275" i="4"/>
  <c r="J274" i="4"/>
  <c r="J272" i="4"/>
  <c r="J271" i="4"/>
  <c r="J270" i="4"/>
  <c r="J269" i="4"/>
  <c r="J267" i="4"/>
  <c r="J266" i="4"/>
  <c r="J265" i="4"/>
  <c r="J263" i="4"/>
  <c r="J262" i="4"/>
  <c r="J261" i="4"/>
  <c r="J260" i="4"/>
  <c r="L80" i="1" l="1"/>
  <c r="L92" i="1"/>
  <c r="J258" i="4"/>
  <c r="J257" i="4"/>
  <c r="J256" i="4" l="1"/>
  <c r="Q217" i="5" l="1"/>
  <c r="O217" i="5"/>
  <c r="N217" i="5"/>
  <c r="Q174" i="5"/>
  <c r="O174" i="5"/>
  <c r="N174" i="5"/>
  <c r="Q173" i="5"/>
  <c r="O173" i="5"/>
  <c r="N173" i="5"/>
  <c r="Q172" i="5"/>
  <c r="O172" i="5"/>
  <c r="N172" i="5"/>
  <c r="Q171" i="5"/>
  <c r="O171" i="5"/>
  <c r="N171" i="5"/>
  <c r="Q170" i="5"/>
  <c r="O170" i="5"/>
  <c r="N170" i="5"/>
  <c r="Q169" i="5"/>
  <c r="O169" i="5"/>
  <c r="N169" i="5"/>
  <c r="Q168" i="5"/>
  <c r="O168" i="5"/>
  <c r="N168" i="5"/>
  <c r="Q167" i="5"/>
  <c r="O167" i="5"/>
  <c r="N167" i="5"/>
  <c r="Q166" i="5"/>
  <c r="O166" i="5"/>
  <c r="N166" i="5"/>
  <c r="Q165" i="5"/>
  <c r="O165" i="5"/>
  <c r="N165" i="5"/>
  <c r="Q164" i="5"/>
  <c r="O164" i="5"/>
  <c r="N164" i="5"/>
  <c r="Q163" i="5"/>
  <c r="O163" i="5"/>
  <c r="N163" i="5"/>
  <c r="J255" i="4"/>
  <c r="J254" i="4"/>
  <c r="D74" i="1"/>
  <c r="D73" i="1"/>
  <c r="D66" i="1"/>
  <c r="D65" i="1"/>
  <c r="D79" i="1"/>
  <c r="D67" i="1"/>
  <c r="D72" i="1"/>
  <c r="D78" i="1"/>
  <c r="D69" i="1"/>
  <c r="D68" i="1"/>
  <c r="D71" i="1"/>
  <c r="D70" i="1"/>
  <c r="D84" i="1"/>
  <c r="D81" i="1"/>
  <c r="D83" i="1"/>
  <c r="D82" i="1"/>
  <c r="D87" i="1"/>
  <c r="D77" i="1"/>
  <c r="D95" i="1"/>
  <c r="D75" i="1"/>
  <c r="D76" i="1"/>
  <c r="D90" i="1"/>
  <c r="J90" i="1"/>
  <c r="L90" i="1" s="1"/>
  <c r="N90" i="1"/>
  <c r="O90" i="1"/>
  <c r="P90" i="1"/>
  <c r="Q90" i="1"/>
  <c r="R90" i="1"/>
  <c r="C113" i="3"/>
  <c r="D113" i="3"/>
  <c r="E113" i="3"/>
  <c r="F113" i="3"/>
  <c r="H113" i="3"/>
  <c r="N113" i="3"/>
  <c r="P173" i="5" l="1"/>
  <c r="P163" i="5"/>
  <c r="P174" i="5"/>
  <c r="P167" i="5"/>
  <c r="P170" i="5"/>
  <c r="P165" i="5"/>
  <c r="P168" i="5"/>
  <c r="P171" i="5"/>
  <c r="P166" i="5"/>
  <c r="P169" i="5"/>
  <c r="P164" i="5"/>
  <c r="P172" i="5"/>
  <c r="P217" i="5"/>
  <c r="O113" i="3"/>
  <c r="M113" i="3"/>
  <c r="AF59" i="4"/>
  <c r="AL59" i="4" s="1"/>
  <c r="AH59" i="4"/>
  <c r="AI59" i="4"/>
  <c r="AG59" i="4" l="1"/>
  <c r="AJ59" i="4" s="1"/>
  <c r="J208" i="4"/>
  <c r="J201" i="4"/>
  <c r="J200" i="4"/>
  <c r="J199" i="4"/>
  <c r="J198" i="4"/>
  <c r="J161" i="4"/>
  <c r="J153" i="4"/>
  <c r="J151" i="4"/>
  <c r="J152" i="4"/>
  <c r="J253" i="4"/>
  <c r="J252" i="4"/>
  <c r="J76" i="1"/>
  <c r="N76" i="1"/>
  <c r="O76" i="1"/>
  <c r="P76" i="1"/>
  <c r="Q76" i="1"/>
  <c r="R76" i="1"/>
  <c r="C171" i="3"/>
  <c r="D171" i="3"/>
  <c r="E171" i="3"/>
  <c r="F171" i="3"/>
  <c r="H171" i="3"/>
  <c r="N171" i="3"/>
  <c r="J77" i="1"/>
  <c r="L77" i="1" s="1"/>
  <c r="O77" i="1"/>
  <c r="P77" i="1"/>
  <c r="Q77" i="1"/>
  <c r="R77" i="1"/>
  <c r="W58" i="1"/>
  <c r="O171" i="3" l="1"/>
  <c r="L76" i="1"/>
  <c r="M171" i="3"/>
  <c r="J83" i="1"/>
  <c r="O83" i="1"/>
  <c r="P83" i="1"/>
  <c r="Q83" i="1"/>
  <c r="R83" i="1"/>
  <c r="J251" i="4"/>
  <c r="J82" i="1"/>
  <c r="L82" i="1" s="1"/>
  <c r="O82" i="1"/>
  <c r="P82" i="1"/>
  <c r="Q82" i="1"/>
  <c r="R82" i="1"/>
  <c r="D57" i="6"/>
  <c r="E57" i="6"/>
  <c r="F57" i="6"/>
  <c r="H57" i="6"/>
  <c r="N57" i="6"/>
  <c r="J70" i="1"/>
  <c r="L70" i="1" s="1"/>
  <c r="O70" i="1"/>
  <c r="P70" i="1"/>
  <c r="Q70" i="1"/>
  <c r="R70" i="1"/>
  <c r="AI80" i="4"/>
  <c r="AI71" i="4"/>
  <c r="AI66" i="4"/>
  <c r="AI18" i="4"/>
  <c r="AI102" i="4"/>
  <c r="AI100" i="4"/>
  <c r="AI72" i="4"/>
  <c r="AI63" i="4"/>
  <c r="AI60" i="4"/>
  <c r="AI101" i="4"/>
  <c r="AI16" i="4"/>
  <c r="AI20" i="4"/>
  <c r="AI99" i="4"/>
  <c r="AI65" i="4"/>
  <c r="AI88" i="4"/>
  <c r="AI49" i="4"/>
  <c r="AI61" i="4"/>
  <c r="AI86" i="4"/>
  <c r="AI39" i="4"/>
  <c r="AI24" i="4"/>
  <c r="AI47" i="4"/>
  <c r="AI95" i="4"/>
  <c r="AI44" i="4"/>
  <c r="AI85" i="4"/>
  <c r="AI81" i="4"/>
  <c r="AI50" i="4"/>
  <c r="AI27" i="4"/>
  <c r="AI45" i="4"/>
  <c r="AI46" i="4"/>
  <c r="AI36" i="4"/>
  <c r="AI54" i="4"/>
  <c r="AI77" i="4"/>
  <c r="AI26" i="4"/>
  <c r="AI103" i="4"/>
  <c r="AI87" i="4"/>
  <c r="AI28" i="4"/>
  <c r="AI89" i="4"/>
  <c r="AI97" i="4"/>
  <c r="AI15" i="4"/>
  <c r="AI58" i="4"/>
  <c r="AI69" i="4"/>
  <c r="AI38" i="4"/>
  <c r="AI22" i="4"/>
  <c r="AI70" i="4"/>
  <c r="AI55" i="4"/>
  <c r="AI73" i="4"/>
  <c r="AI35" i="4"/>
  <c r="AI78" i="4"/>
  <c r="AI33" i="4"/>
  <c r="AI56" i="4"/>
  <c r="AI25" i="4"/>
  <c r="AI21" i="4"/>
  <c r="AI37" i="4"/>
  <c r="AI67" i="4"/>
  <c r="AI34" i="4"/>
  <c r="AI62" i="4"/>
  <c r="AI32" i="4"/>
  <c r="AI79" i="4"/>
  <c r="AI42" i="4"/>
  <c r="AI40" i="4"/>
  <c r="AI31" i="4"/>
  <c r="AI74" i="4"/>
  <c r="AI43" i="4"/>
  <c r="AI52" i="4"/>
  <c r="AI98" i="4"/>
  <c r="AI82" i="4"/>
  <c r="AI41" i="4"/>
  <c r="AI64" i="4"/>
  <c r="AI53" i="4"/>
  <c r="AI48" i="4"/>
  <c r="AI29" i="4"/>
  <c r="AI23" i="4"/>
  <c r="AI68" i="4"/>
  <c r="AI19" i="4"/>
  <c r="AI92" i="4"/>
  <c r="AI30" i="4"/>
  <c r="AI17" i="4"/>
  <c r="AI51" i="4"/>
  <c r="AH80" i="4"/>
  <c r="AH71" i="4"/>
  <c r="AH66" i="4"/>
  <c r="AH18" i="4"/>
  <c r="AH102" i="4"/>
  <c r="AH100" i="4"/>
  <c r="AH72" i="4"/>
  <c r="AH63" i="4"/>
  <c r="AH60" i="4"/>
  <c r="AH101" i="4"/>
  <c r="AH16" i="4"/>
  <c r="AH20" i="4"/>
  <c r="AH99" i="4"/>
  <c r="AH65" i="4"/>
  <c r="AH88" i="4"/>
  <c r="AH49" i="4"/>
  <c r="AH61" i="4"/>
  <c r="AH86" i="4"/>
  <c r="AH39" i="4"/>
  <c r="AH24" i="4"/>
  <c r="AH47" i="4"/>
  <c r="AH95" i="4"/>
  <c r="AH44" i="4"/>
  <c r="AH85" i="4"/>
  <c r="AH81" i="4"/>
  <c r="AH50" i="4"/>
  <c r="AH27" i="4"/>
  <c r="AH45" i="4"/>
  <c r="AH46" i="4"/>
  <c r="AH36" i="4"/>
  <c r="AH54" i="4"/>
  <c r="AH77" i="4"/>
  <c r="AH26" i="4"/>
  <c r="AH103" i="4"/>
  <c r="AH87" i="4"/>
  <c r="AH28" i="4"/>
  <c r="AH89" i="4"/>
  <c r="AH97" i="4"/>
  <c r="AH15" i="4"/>
  <c r="AH58" i="4"/>
  <c r="AH69" i="4"/>
  <c r="AH38" i="4"/>
  <c r="AH22" i="4"/>
  <c r="AH70" i="4"/>
  <c r="AH55" i="4"/>
  <c r="AH73" i="4"/>
  <c r="AH35" i="4"/>
  <c r="AH78" i="4"/>
  <c r="AH33" i="4"/>
  <c r="AH56" i="4"/>
  <c r="AH25" i="4"/>
  <c r="AH21" i="4"/>
  <c r="AH37" i="4"/>
  <c r="AH67" i="4"/>
  <c r="AH34" i="4"/>
  <c r="AH62" i="4"/>
  <c r="AH32" i="4"/>
  <c r="AH79" i="4"/>
  <c r="AH42" i="4"/>
  <c r="AH40" i="4"/>
  <c r="AH31" i="4"/>
  <c r="AH74" i="4"/>
  <c r="AH43" i="4"/>
  <c r="AH52" i="4"/>
  <c r="AH98" i="4"/>
  <c r="AH82" i="4"/>
  <c r="AH41" i="4"/>
  <c r="AH64" i="4"/>
  <c r="AH53" i="4"/>
  <c r="AH48" i="4"/>
  <c r="AH29" i="4"/>
  <c r="AH23" i="4"/>
  <c r="AH68" i="4"/>
  <c r="AH19" i="4"/>
  <c r="AH92" i="4"/>
  <c r="AH30" i="4"/>
  <c r="AH17" i="4"/>
  <c r="AH51" i="4"/>
  <c r="AF66" i="4"/>
  <c r="AL66" i="4" s="1"/>
  <c r="AF60" i="4"/>
  <c r="AL60" i="4" s="1"/>
  <c r="AF18" i="4"/>
  <c r="AL18" i="4" s="1"/>
  <c r="AF102" i="4"/>
  <c r="AL102" i="4" s="1"/>
  <c r="AF100" i="4"/>
  <c r="AL100" i="4" s="1"/>
  <c r="AF26" i="4"/>
  <c r="AL26" i="4" s="1"/>
  <c r="AF72" i="4"/>
  <c r="AL72" i="4" s="1"/>
  <c r="AF63" i="4"/>
  <c r="AL63" i="4" s="1"/>
  <c r="AF101" i="4"/>
  <c r="AL101" i="4" s="1"/>
  <c r="AF80" i="4"/>
  <c r="AL80" i="4" s="1"/>
  <c r="AF44" i="4"/>
  <c r="AL44" i="4" s="1"/>
  <c r="AF16" i="4"/>
  <c r="AL16" i="4" s="1"/>
  <c r="AF103" i="4"/>
  <c r="AL103" i="4" s="1"/>
  <c r="AF87" i="4"/>
  <c r="AL87" i="4" s="1"/>
  <c r="AF71" i="4"/>
  <c r="AL71" i="4" s="1"/>
  <c r="AF20" i="4"/>
  <c r="AL20" i="4" s="1"/>
  <c r="AF99" i="4"/>
  <c r="AL99" i="4" s="1"/>
  <c r="AF65" i="4"/>
  <c r="AL65" i="4" s="1"/>
  <c r="AF28" i="4"/>
  <c r="AL28" i="4" s="1"/>
  <c r="AF85" i="4"/>
  <c r="AL85" i="4" s="1"/>
  <c r="AF81" i="4"/>
  <c r="AL81" i="4" s="1"/>
  <c r="AF88" i="4"/>
  <c r="AL88" i="4" s="1"/>
  <c r="AF89" i="4"/>
  <c r="AL89" i="4" s="1"/>
  <c r="AF97" i="4"/>
  <c r="AL97" i="4" s="1"/>
  <c r="AF15" i="4"/>
  <c r="AL15" i="4" s="1"/>
  <c r="AF58" i="4"/>
  <c r="AL58" i="4" s="1"/>
  <c r="AF69" i="4"/>
  <c r="AL69" i="4" s="1"/>
  <c r="AF49" i="4"/>
  <c r="AL49" i="4" s="1"/>
  <c r="AF38" i="4"/>
  <c r="AL38" i="4" s="1"/>
  <c r="AF22" i="4"/>
  <c r="AL22" i="4" s="1"/>
  <c r="AF41" i="4"/>
  <c r="AL41" i="4" s="1"/>
  <c r="AF61" i="4"/>
  <c r="AL61" i="4" s="1"/>
  <c r="AF86" i="4"/>
  <c r="AL86" i="4" s="1"/>
  <c r="AF70" i="4"/>
  <c r="AL70" i="4" s="1"/>
  <c r="AF55" i="4"/>
  <c r="AL55" i="4" s="1"/>
  <c r="AF64" i="4"/>
  <c r="AL64" i="4" s="1"/>
  <c r="AF39" i="4"/>
  <c r="AL39" i="4" s="1"/>
  <c r="AF73" i="4"/>
  <c r="AL73" i="4" s="1"/>
  <c r="AF24" i="4"/>
  <c r="AL24" i="4" s="1"/>
  <c r="AF50" i="4"/>
  <c r="AL50" i="4" s="1"/>
  <c r="AF47" i="4"/>
  <c r="AL47" i="4" s="1"/>
  <c r="AF35" i="4"/>
  <c r="AL35" i="4" s="1"/>
  <c r="AF53" i="4"/>
  <c r="AL53" i="4" s="1"/>
  <c r="AF48" i="4"/>
  <c r="AL48" i="4" s="1"/>
  <c r="AF78" i="4"/>
  <c r="AL78" i="4" s="1"/>
  <c r="AF27" i="4"/>
  <c r="AL27" i="4" s="1"/>
  <c r="AF45" i="4"/>
  <c r="AL45" i="4" s="1"/>
  <c r="AF33" i="4"/>
  <c r="AL33" i="4" s="1"/>
  <c r="AF56" i="4"/>
  <c r="AL56" i="4" s="1"/>
  <c r="AF29" i="4"/>
  <c r="AL29" i="4" s="1"/>
  <c r="AF25" i="4"/>
  <c r="AL25" i="4" s="1"/>
  <c r="AF21" i="4"/>
  <c r="AL21" i="4" s="1"/>
  <c r="AF37" i="4"/>
  <c r="AL37" i="4" s="1"/>
  <c r="AF95" i="4"/>
  <c r="AL95" i="4" s="1"/>
  <c r="AF67" i="4"/>
  <c r="AL67" i="4" s="1"/>
  <c r="AF34" i="4"/>
  <c r="AL34" i="4" s="1"/>
  <c r="AF46" i="4"/>
  <c r="AL46" i="4" s="1"/>
  <c r="AF23" i="4"/>
  <c r="AL23" i="4" s="1"/>
  <c r="AF68" i="4"/>
  <c r="AL68" i="4" s="1"/>
  <c r="AF19" i="4"/>
  <c r="AL19" i="4" s="1"/>
  <c r="AF62" i="4"/>
  <c r="AL62" i="4" s="1"/>
  <c r="AF32" i="4"/>
  <c r="AL32" i="4" s="1"/>
  <c r="AF79" i="4"/>
  <c r="AL79" i="4" s="1"/>
  <c r="AF42" i="4"/>
  <c r="AL42" i="4" s="1"/>
  <c r="AF40" i="4"/>
  <c r="AL40" i="4" s="1"/>
  <c r="AF31" i="4"/>
  <c r="AL31" i="4" s="1"/>
  <c r="AF74" i="4"/>
  <c r="AL74" i="4" s="1"/>
  <c r="AF43" i="4"/>
  <c r="AL43" i="4" s="1"/>
  <c r="AF52" i="4"/>
  <c r="AL52" i="4" s="1"/>
  <c r="AF92" i="4"/>
  <c r="AL92" i="4" s="1"/>
  <c r="AF30" i="4"/>
  <c r="AL30" i="4" s="1"/>
  <c r="AF17" i="4"/>
  <c r="AL17" i="4" s="1"/>
  <c r="AF51" i="4"/>
  <c r="AL51" i="4" s="1"/>
  <c r="AF98" i="4"/>
  <c r="AL98" i="4" s="1"/>
  <c r="AF36" i="4"/>
  <c r="AL36" i="4" s="1"/>
  <c r="AF82" i="4"/>
  <c r="AL82" i="4" s="1"/>
  <c r="AF54" i="4"/>
  <c r="AL54" i="4" s="1"/>
  <c r="AF77" i="4"/>
  <c r="AL77" i="4" s="1"/>
  <c r="J250" i="4"/>
  <c r="R28" i="4"/>
  <c r="S28" i="4"/>
  <c r="U28" i="4"/>
  <c r="J249" i="4"/>
  <c r="V28" i="4" l="1"/>
  <c r="T28" i="4"/>
  <c r="AC28" i="4"/>
  <c r="AB28" i="4"/>
  <c r="AA28" i="4"/>
  <c r="AG66" i="4"/>
  <c r="AJ66" i="4" s="1"/>
  <c r="AG27" i="4"/>
  <c r="AJ27" i="4" s="1"/>
  <c r="AG39" i="4"/>
  <c r="AJ39" i="4" s="1"/>
  <c r="AG16" i="4"/>
  <c r="AJ16" i="4" s="1"/>
  <c r="AG42" i="4"/>
  <c r="AJ42" i="4" s="1"/>
  <c r="AG25" i="4"/>
  <c r="AJ25" i="4" s="1"/>
  <c r="AG22" i="4"/>
  <c r="AJ22" i="4" s="1"/>
  <c r="AG87" i="4"/>
  <c r="AJ87" i="4" s="1"/>
  <c r="AG92" i="4"/>
  <c r="AJ92" i="4" s="1"/>
  <c r="AG41" i="4"/>
  <c r="AJ41" i="4" s="1"/>
  <c r="L83" i="1"/>
  <c r="AG78" i="4"/>
  <c r="AJ78" i="4" s="1"/>
  <c r="AG85" i="4"/>
  <c r="AJ85" i="4" s="1"/>
  <c r="AG63" i="4"/>
  <c r="AJ63" i="4" s="1"/>
  <c r="AG58" i="4"/>
  <c r="AJ58" i="4" s="1"/>
  <c r="AG49" i="4"/>
  <c r="AJ49" i="4" s="1"/>
  <c r="AG77" i="4"/>
  <c r="AJ77" i="4" s="1"/>
  <c r="AG68" i="4"/>
  <c r="AJ68" i="4" s="1"/>
  <c r="AG98" i="4"/>
  <c r="AJ98" i="4" s="1"/>
  <c r="AG32" i="4"/>
  <c r="AJ32" i="4" s="1"/>
  <c r="AG33" i="4"/>
  <c r="AJ33" i="4" s="1"/>
  <c r="AG69" i="4"/>
  <c r="AJ69" i="4" s="1"/>
  <c r="AG26" i="4"/>
  <c r="AJ26" i="4" s="1"/>
  <c r="AG81" i="4"/>
  <c r="AJ81" i="4" s="1"/>
  <c r="AG61" i="4"/>
  <c r="AJ61" i="4" s="1"/>
  <c r="AG60" i="4"/>
  <c r="AJ60" i="4" s="1"/>
  <c r="AG80" i="4"/>
  <c r="AJ80" i="4" s="1"/>
  <c r="AG23" i="4"/>
  <c r="AJ23" i="4" s="1"/>
  <c r="AG52" i="4"/>
  <c r="AJ52" i="4" s="1"/>
  <c r="AG62" i="4"/>
  <c r="AJ62" i="4" s="1"/>
  <c r="AG51" i="4"/>
  <c r="AJ51" i="4" s="1"/>
  <c r="AG74" i="4"/>
  <c r="AJ74" i="4" s="1"/>
  <c r="AG19" i="4"/>
  <c r="AJ19" i="4" s="1"/>
  <c r="AG82" i="4"/>
  <c r="AJ82" i="4" s="1"/>
  <c r="AG79" i="4"/>
  <c r="AJ79" i="4" s="1"/>
  <c r="AG56" i="4"/>
  <c r="AJ56" i="4" s="1"/>
  <c r="AG38" i="4"/>
  <c r="AJ38" i="4" s="1"/>
  <c r="AG103" i="4"/>
  <c r="AJ103" i="4" s="1"/>
  <c r="AG50" i="4"/>
  <c r="AJ50" i="4" s="1"/>
  <c r="AG71" i="4"/>
  <c r="AJ71" i="4" s="1"/>
  <c r="AG48" i="4"/>
  <c r="AJ48" i="4" s="1"/>
  <c r="AG67" i="4"/>
  <c r="AJ67" i="4" s="1"/>
  <c r="AG86" i="4"/>
  <c r="AJ86" i="4" s="1"/>
  <c r="AG101" i="4"/>
  <c r="AJ101" i="4" s="1"/>
  <c r="AG73" i="4"/>
  <c r="AJ73" i="4" s="1"/>
  <c r="AG97" i="4"/>
  <c r="AJ97" i="4" s="1"/>
  <c r="AG36" i="4"/>
  <c r="AJ36" i="4" s="1"/>
  <c r="AG95" i="4"/>
  <c r="AJ95" i="4" s="1"/>
  <c r="AG65" i="4"/>
  <c r="AJ65" i="4" s="1"/>
  <c r="AG100" i="4"/>
  <c r="AJ100" i="4" s="1"/>
  <c r="AG30" i="4"/>
  <c r="AJ30" i="4" s="1"/>
  <c r="AG64" i="4"/>
  <c r="AJ64" i="4" s="1"/>
  <c r="AG40" i="4"/>
  <c r="AJ40" i="4" s="1"/>
  <c r="AG21" i="4"/>
  <c r="AJ21" i="4" s="1"/>
  <c r="AG70" i="4"/>
  <c r="AJ70" i="4" s="1"/>
  <c r="AG28" i="4"/>
  <c r="AJ28" i="4" s="1"/>
  <c r="AG45" i="4"/>
  <c r="AJ45" i="4" s="1"/>
  <c r="AG24" i="4"/>
  <c r="AJ24" i="4" s="1"/>
  <c r="AG20" i="4"/>
  <c r="AJ20" i="4" s="1"/>
  <c r="AG18" i="4"/>
  <c r="AJ18" i="4" s="1"/>
  <c r="AG17" i="4"/>
  <c r="AJ17" i="4" s="1"/>
  <c r="AG53" i="4"/>
  <c r="AJ53" i="4" s="1"/>
  <c r="AG31" i="4"/>
  <c r="AJ31" i="4" s="1"/>
  <c r="AG37" i="4"/>
  <c r="AJ37" i="4" s="1"/>
  <c r="AG55" i="4"/>
  <c r="AJ55" i="4" s="1"/>
  <c r="AG89" i="4"/>
  <c r="AJ89" i="4" s="1"/>
  <c r="AG46" i="4"/>
  <c r="AJ46" i="4" s="1"/>
  <c r="AG47" i="4"/>
  <c r="AJ47" i="4" s="1"/>
  <c r="AG99" i="4"/>
  <c r="AJ99" i="4" s="1"/>
  <c r="AG102" i="4"/>
  <c r="AJ102" i="4" s="1"/>
  <c r="AG29" i="4"/>
  <c r="AJ29" i="4" s="1"/>
  <c r="AG43" i="4"/>
  <c r="AJ43" i="4" s="1"/>
  <c r="AG34" i="4"/>
  <c r="AJ34" i="4" s="1"/>
  <c r="AG35" i="4"/>
  <c r="AJ35" i="4" s="1"/>
  <c r="AG15" i="4"/>
  <c r="AJ15" i="4" s="1"/>
  <c r="AG54" i="4"/>
  <c r="AJ54" i="4" s="1"/>
  <c r="AG44" i="4"/>
  <c r="AJ44" i="4" s="1"/>
  <c r="AG88" i="4"/>
  <c r="AJ88" i="4" s="1"/>
  <c r="AG72" i="4"/>
  <c r="AJ72" i="4" s="1"/>
  <c r="J248" i="4" l="1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7" i="4"/>
  <c r="J226" i="4"/>
  <c r="J225" i="4"/>
  <c r="J228" i="4"/>
  <c r="U27" i="4"/>
  <c r="S27" i="4"/>
  <c r="R27" i="4"/>
  <c r="U26" i="4"/>
  <c r="S26" i="4"/>
  <c r="R26" i="4"/>
  <c r="U25" i="4"/>
  <c r="S25" i="4"/>
  <c r="R25" i="4"/>
  <c r="U24" i="4"/>
  <c r="S24" i="4"/>
  <c r="R24" i="4"/>
  <c r="U23" i="4"/>
  <c r="S23" i="4"/>
  <c r="R23" i="4"/>
  <c r="U22" i="4"/>
  <c r="S22" i="4"/>
  <c r="R22" i="4"/>
  <c r="U21" i="4"/>
  <c r="S21" i="4"/>
  <c r="R21" i="4"/>
  <c r="U20" i="4"/>
  <c r="S20" i="4"/>
  <c r="R20" i="4"/>
  <c r="U19" i="4"/>
  <c r="S19" i="4"/>
  <c r="R19" i="4"/>
  <c r="U18" i="4"/>
  <c r="S18" i="4"/>
  <c r="R18" i="4"/>
  <c r="U17" i="4"/>
  <c r="S17" i="4"/>
  <c r="R17" i="4"/>
  <c r="U16" i="4"/>
  <c r="S16" i="4"/>
  <c r="R16" i="4"/>
  <c r="U15" i="4"/>
  <c r="S15" i="4"/>
  <c r="R15" i="4"/>
  <c r="T24" i="4" l="1"/>
  <c r="U31" i="4"/>
  <c r="V24" i="4"/>
  <c r="R31" i="4"/>
  <c r="S31" i="4"/>
  <c r="V21" i="4"/>
  <c r="V20" i="4"/>
  <c r="T19" i="4"/>
  <c r="T16" i="4"/>
  <c r="V16" i="4"/>
  <c r="T21" i="4"/>
  <c r="T27" i="4"/>
  <c r="T20" i="4"/>
  <c r="T23" i="4"/>
  <c r="T22" i="4"/>
  <c r="AC25" i="4"/>
  <c r="AB25" i="4"/>
  <c r="AA25" i="4"/>
  <c r="V27" i="4"/>
  <c r="AC19" i="4"/>
  <c r="AB19" i="4"/>
  <c r="AA19" i="4"/>
  <c r="AC22" i="4"/>
  <c r="AB22" i="4"/>
  <c r="AA22" i="4"/>
  <c r="V15" i="4"/>
  <c r="T17" i="4"/>
  <c r="AB20" i="4"/>
  <c r="AA20" i="4"/>
  <c r="AC20" i="4"/>
  <c r="V22" i="4"/>
  <c r="T25" i="4"/>
  <c r="V19" i="4"/>
  <c r="V17" i="4"/>
  <c r="AC23" i="4"/>
  <c r="AB23" i="4"/>
  <c r="AA23" i="4"/>
  <c r="V25" i="4"/>
  <c r="AC17" i="4"/>
  <c r="AB17" i="4"/>
  <c r="AA17" i="4"/>
  <c r="AC26" i="4"/>
  <c r="AB26" i="4"/>
  <c r="AA26" i="4"/>
  <c r="AC15" i="4"/>
  <c r="AB15" i="4"/>
  <c r="AA15" i="4"/>
  <c r="T15" i="4"/>
  <c r="AC18" i="4"/>
  <c r="AB18" i="4"/>
  <c r="AA18" i="4"/>
  <c r="T18" i="4"/>
  <c r="AC21" i="4"/>
  <c r="AB21" i="4"/>
  <c r="AA21" i="4"/>
  <c r="V23" i="4"/>
  <c r="T26" i="4"/>
  <c r="AC16" i="4"/>
  <c r="AB16" i="4"/>
  <c r="AA16" i="4"/>
  <c r="V18" i="4"/>
  <c r="AC24" i="4"/>
  <c r="AB24" i="4"/>
  <c r="AA24" i="4"/>
  <c r="V26" i="4"/>
  <c r="AC27" i="4"/>
  <c r="AB27" i="4"/>
  <c r="AA27" i="4"/>
  <c r="T31" i="4" l="1"/>
  <c r="V31" i="4"/>
  <c r="AA31" i="4"/>
  <c r="AB31" i="4"/>
  <c r="AC31" i="4"/>
  <c r="N33" i="6" l="1"/>
  <c r="H33" i="6"/>
  <c r="F33" i="6"/>
  <c r="E33" i="6"/>
  <c r="D33" i="6"/>
  <c r="N102" i="6"/>
  <c r="H102" i="6"/>
  <c r="F102" i="6"/>
  <c r="E102" i="6"/>
  <c r="D102" i="6"/>
  <c r="N111" i="6"/>
  <c r="H111" i="6"/>
  <c r="F111" i="6"/>
  <c r="E111" i="6"/>
  <c r="D111" i="6"/>
  <c r="C111" i="6"/>
  <c r="N66" i="6"/>
  <c r="H66" i="6"/>
  <c r="F66" i="6"/>
  <c r="E66" i="6"/>
  <c r="D66" i="6"/>
  <c r="C66" i="6"/>
  <c r="N94" i="6"/>
  <c r="H94" i="6"/>
  <c r="F94" i="6"/>
  <c r="E94" i="6"/>
  <c r="D94" i="6"/>
  <c r="C94" i="6"/>
  <c r="N109" i="6"/>
  <c r="H109" i="6"/>
  <c r="F109" i="6"/>
  <c r="E109" i="6"/>
  <c r="D109" i="6"/>
  <c r="C109" i="6"/>
  <c r="N21" i="6"/>
  <c r="H21" i="6"/>
  <c r="F21" i="6"/>
  <c r="E21" i="6"/>
  <c r="D21" i="6"/>
  <c r="C21" i="6"/>
  <c r="N81" i="6"/>
  <c r="H81" i="6"/>
  <c r="F81" i="6"/>
  <c r="E81" i="6"/>
  <c r="D81" i="6"/>
  <c r="C81" i="6"/>
  <c r="N99" i="6"/>
  <c r="H99" i="6"/>
  <c r="F99" i="6"/>
  <c r="E99" i="6"/>
  <c r="D99" i="6"/>
  <c r="C99" i="6"/>
  <c r="N112" i="6"/>
  <c r="H112" i="6"/>
  <c r="F112" i="6"/>
  <c r="E112" i="6"/>
  <c r="D112" i="6"/>
  <c r="C112" i="6"/>
  <c r="N72" i="6"/>
  <c r="H72" i="6"/>
  <c r="F72" i="6"/>
  <c r="E72" i="6"/>
  <c r="D72" i="6"/>
  <c r="C72" i="6"/>
  <c r="N25" i="6"/>
  <c r="H25" i="6"/>
  <c r="F25" i="6"/>
  <c r="E25" i="6"/>
  <c r="D25" i="6"/>
  <c r="C25" i="6"/>
  <c r="N56" i="6"/>
  <c r="H56" i="6"/>
  <c r="F56" i="6"/>
  <c r="E56" i="6"/>
  <c r="D56" i="6"/>
  <c r="C56" i="6"/>
  <c r="N96" i="6"/>
  <c r="H96" i="6"/>
  <c r="F96" i="6"/>
  <c r="E96" i="6"/>
  <c r="D96" i="6"/>
  <c r="C96" i="6"/>
  <c r="N62" i="6"/>
  <c r="H62" i="6"/>
  <c r="F62" i="6"/>
  <c r="E62" i="6"/>
  <c r="D62" i="6"/>
  <c r="C62" i="6"/>
  <c r="N77" i="6"/>
  <c r="H77" i="6"/>
  <c r="F77" i="6"/>
  <c r="E77" i="6"/>
  <c r="D77" i="6"/>
  <c r="C77" i="6"/>
  <c r="N58" i="6"/>
  <c r="H58" i="6"/>
  <c r="F58" i="6"/>
  <c r="E58" i="6"/>
  <c r="D58" i="6"/>
  <c r="C58" i="6"/>
  <c r="N107" i="6"/>
  <c r="H107" i="6"/>
  <c r="F107" i="6"/>
  <c r="E107" i="6"/>
  <c r="D107" i="6"/>
  <c r="C107" i="6"/>
  <c r="N67" i="6"/>
  <c r="H67" i="6"/>
  <c r="F67" i="6"/>
  <c r="E67" i="6"/>
  <c r="D67" i="6"/>
  <c r="C67" i="6"/>
  <c r="N59" i="6"/>
  <c r="H59" i="6"/>
  <c r="F59" i="6"/>
  <c r="E59" i="6"/>
  <c r="D59" i="6"/>
  <c r="C59" i="6"/>
  <c r="N45" i="6"/>
  <c r="H45" i="6"/>
  <c r="F45" i="6"/>
  <c r="E45" i="6"/>
  <c r="D45" i="6"/>
  <c r="C45" i="6"/>
  <c r="N36" i="6"/>
  <c r="H36" i="6"/>
  <c r="F36" i="6"/>
  <c r="E36" i="6"/>
  <c r="D36" i="6"/>
  <c r="C36" i="6"/>
  <c r="N34" i="6"/>
  <c r="H34" i="6"/>
  <c r="F34" i="6"/>
  <c r="E34" i="6"/>
  <c r="D34" i="6"/>
  <c r="C34" i="6"/>
  <c r="N74" i="6"/>
  <c r="H74" i="6"/>
  <c r="F74" i="6"/>
  <c r="E74" i="6"/>
  <c r="D74" i="6"/>
  <c r="C74" i="6"/>
  <c r="N98" i="6"/>
  <c r="H98" i="6"/>
  <c r="F98" i="6"/>
  <c r="E98" i="6"/>
  <c r="D98" i="6"/>
  <c r="C98" i="6"/>
  <c r="N26" i="6"/>
  <c r="H26" i="6"/>
  <c r="F26" i="6"/>
  <c r="E26" i="6"/>
  <c r="D26" i="6"/>
  <c r="C26" i="6"/>
  <c r="N51" i="6"/>
  <c r="H51" i="6"/>
  <c r="F51" i="6"/>
  <c r="E51" i="6"/>
  <c r="D51" i="6"/>
  <c r="C51" i="6"/>
  <c r="N13" i="6"/>
  <c r="H13" i="6"/>
  <c r="F13" i="6"/>
  <c r="E13" i="6"/>
  <c r="D13" i="6"/>
  <c r="C13" i="6"/>
  <c r="N68" i="6"/>
  <c r="H68" i="6"/>
  <c r="F68" i="6"/>
  <c r="E68" i="6"/>
  <c r="D68" i="6"/>
  <c r="C68" i="6"/>
  <c r="N27" i="6"/>
  <c r="H27" i="6"/>
  <c r="F27" i="6"/>
  <c r="E27" i="6"/>
  <c r="D27" i="6"/>
  <c r="C27" i="6"/>
  <c r="N63" i="6"/>
  <c r="H63" i="6"/>
  <c r="F63" i="6"/>
  <c r="E63" i="6"/>
  <c r="D63" i="6"/>
  <c r="C63" i="6"/>
  <c r="N65" i="6"/>
  <c r="H65" i="6"/>
  <c r="F65" i="6"/>
  <c r="E65" i="6"/>
  <c r="D65" i="6"/>
  <c r="C65" i="6"/>
  <c r="N110" i="6"/>
  <c r="H110" i="6"/>
  <c r="F110" i="6"/>
  <c r="E110" i="6"/>
  <c r="D110" i="6"/>
  <c r="C110" i="6"/>
  <c r="N95" i="6"/>
  <c r="H95" i="6"/>
  <c r="F95" i="6"/>
  <c r="E95" i="6"/>
  <c r="D95" i="6"/>
  <c r="C95" i="6"/>
  <c r="N15" i="6"/>
  <c r="H15" i="6"/>
  <c r="F15" i="6"/>
  <c r="E15" i="6"/>
  <c r="D15" i="6"/>
  <c r="C15" i="6"/>
  <c r="N88" i="6"/>
  <c r="H88" i="6"/>
  <c r="F88" i="6"/>
  <c r="E88" i="6"/>
  <c r="D88" i="6"/>
  <c r="C88" i="6"/>
  <c r="N79" i="6"/>
  <c r="H79" i="6"/>
  <c r="F79" i="6"/>
  <c r="E79" i="6"/>
  <c r="D79" i="6"/>
  <c r="N86" i="6"/>
  <c r="H86" i="6"/>
  <c r="F86" i="6"/>
  <c r="E86" i="6"/>
  <c r="D86" i="6"/>
  <c r="C86" i="6"/>
  <c r="N20" i="6"/>
  <c r="H20" i="6"/>
  <c r="F20" i="6"/>
  <c r="E20" i="6"/>
  <c r="D20" i="6"/>
  <c r="C20" i="6"/>
  <c r="N101" i="6"/>
  <c r="H101" i="6"/>
  <c r="F101" i="6"/>
  <c r="E101" i="6"/>
  <c r="D101" i="6"/>
  <c r="C101" i="6"/>
  <c r="N40" i="6"/>
  <c r="H40" i="6"/>
  <c r="F40" i="6"/>
  <c r="E40" i="6"/>
  <c r="D40" i="6"/>
  <c r="C40" i="6"/>
  <c r="N17" i="6"/>
  <c r="H17" i="6"/>
  <c r="F17" i="6"/>
  <c r="E17" i="6"/>
  <c r="D17" i="6"/>
  <c r="C17" i="6"/>
  <c r="N12" i="6"/>
  <c r="H12" i="6"/>
  <c r="F12" i="6"/>
  <c r="E12" i="6"/>
  <c r="D12" i="6"/>
  <c r="C12" i="6"/>
  <c r="N106" i="6"/>
  <c r="H106" i="6"/>
  <c r="F106" i="6"/>
  <c r="E106" i="6"/>
  <c r="D106" i="6"/>
  <c r="C106" i="6"/>
  <c r="N84" i="6"/>
  <c r="H84" i="6"/>
  <c r="F84" i="6"/>
  <c r="E84" i="6"/>
  <c r="D84" i="6"/>
  <c r="C84" i="6"/>
  <c r="N31" i="6"/>
  <c r="H31" i="6"/>
  <c r="F31" i="6"/>
  <c r="E31" i="6"/>
  <c r="D31" i="6"/>
  <c r="C31" i="6"/>
  <c r="N87" i="6"/>
  <c r="H87" i="6"/>
  <c r="F87" i="6"/>
  <c r="E87" i="6"/>
  <c r="D87" i="6"/>
  <c r="C87" i="6"/>
  <c r="N70" i="6"/>
  <c r="H70" i="6"/>
  <c r="F70" i="6"/>
  <c r="E70" i="6"/>
  <c r="D70" i="6"/>
  <c r="C70" i="6"/>
  <c r="N28" i="6"/>
  <c r="H28" i="6"/>
  <c r="F28" i="6"/>
  <c r="E28" i="6"/>
  <c r="D28" i="6"/>
  <c r="C28" i="6"/>
  <c r="N42" i="6"/>
  <c r="H42" i="6"/>
  <c r="F42" i="6"/>
  <c r="E42" i="6"/>
  <c r="D42" i="6"/>
  <c r="C42" i="6"/>
  <c r="N44" i="6"/>
  <c r="H44" i="6"/>
  <c r="F44" i="6"/>
  <c r="E44" i="6"/>
  <c r="D44" i="6"/>
  <c r="C44" i="6"/>
  <c r="N47" i="6"/>
  <c r="H47" i="6"/>
  <c r="F47" i="6"/>
  <c r="E47" i="6"/>
  <c r="D47" i="6"/>
  <c r="N50" i="6"/>
  <c r="H50" i="6"/>
  <c r="F50" i="6"/>
  <c r="E50" i="6"/>
  <c r="D50" i="6"/>
  <c r="C50" i="6"/>
  <c r="N71" i="6"/>
  <c r="H71" i="6"/>
  <c r="F71" i="6"/>
  <c r="E71" i="6"/>
  <c r="D71" i="6"/>
  <c r="C71" i="6"/>
  <c r="N16" i="6"/>
  <c r="H16" i="6"/>
  <c r="F16" i="6"/>
  <c r="E16" i="6"/>
  <c r="D16" i="6"/>
  <c r="C16" i="6"/>
  <c r="N14" i="6"/>
  <c r="H14" i="6"/>
  <c r="F14" i="6"/>
  <c r="E14" i="6"/>
  <c r="D14" i="6"/>
  <c r="C14" i="6"/>
  <c r="N76" i="6"/>
  <c r="H76" i="6"/>
  <c r="F76" i="6"/>
  <c r="E76" i="6"/>
  <c r="D76" i="6"/>
  <c r="C76" i="6"/>
  <c r="N80" i="6"/>
  <c r="H80" i="6"/>
  <c r="F80" i="6"/>
  <c r="E80" i="6"/>
  <c r="D80" i="6"/>
  <c r="C80" i="6"/>
  <c r="N43" i="6"/>
  <c r="H43" i="6"/>
  <c r="F43" i="6"/>
  <c r="E43" i="6"/>
  <c r="D43" i="6"/>
  <c r="N48" i="6"/>
  <c r="H48" i="6"/>
  <c r="F48" i="6"/>
  <c r="E48" i="6"/>
  <c r="D48" i="6"/>
  <c r="C48" i="6"/>
  <c r="N52" i="6"/>
  <c r="H52" i="6"/>
  <c r="F52" i="6"/>
  <c r="E52" i="6"/>
  <c r="D52" i="6"/>
  <c r="C52" i="6"/>
  <c r="N30" i="6"/>
  <c r="H30" i="6"/>
  <c r="F30" i="6"/>
  <c r="E30" i="6"/>
  <c r="D30" i="6"/>
  <c r="C30" i="6"/>
  <c r="N60" i="6"/>
  <c r="H60" i="6"/>
  <c r="F60" i="6"/>
  <c r="E60" i="6"/>
  <c r="D60" i="6"/>
  <c r="C60" i="6"/>
  <c r="N24" i="6"/>
  <c r="H24" i="6"/>
  <c r="F24" i="6"/>
  <c r="E24" i="6"/>
  <c r="D24" i="6"/>
  <c r="C24" i="6"/>
  <c r="N97" i="6"/>
  <c r="H97" i="6"/>
  <c r="F97" i="6"/>
  <c r="E97" i="6"/>
  <c r="D97" i="6"/>
  <c r="C97" i="6"/>
  <c r="N75" i="6"/>
  <c r="H75" i="6"/>
  <c r="F75" i="6"/>
  <c r="E75" i="6"/>
  <c r="D75" i="6"/>
  <c r="C75" i="6"/>
  <c r="N32" i="6"/>
  <c r="H32" i="6"/>
  <c r="F32" i="6"/>
  <c r="E32" i="6"/>
  <c r="D32" i="6"/>
  <c r="C32" i="6"/>
  <c r="N61" i="6"/>
  <c r="H61" i="6"/>
  <c r="F61" i="6"/>
  <c r="E61" i="6"/>
  <c r="D61" i="6"/>
  <c r="C61" i="6"/>
  <c r="N23" i="6"/>
  <c r="H23" i="6"/>
  <c r="F23" i="6"/>
  <c r="E23" i="6"/>
  <c r="D23" i="6"/>
  <c r="C23" i="6"/>
  <c r="N93" i="6"/>
  <c r="H93" i="6"/>
  <c r="F93" i="6"/>
  <c r="E93" i="6"/>
  <c r="D93" i="6"/>
  <c r="C93" i="6"/>
  <c r="N49" i="6"/>
  <c r="H49" i="6"/>
  <c r="F49" i="6"/>
  <c r="E49" i="6"/>
  <c r="D49" i="6"/>
  <c r="C49" i="6"/>
  <c r="N82" i="6"/>
  <c r="H82" i="6"/>
  <c r="F82" i="6"/>
  <c r="E82" i="6"/>
  <c r="D82" i="6"/>
  <c r="C82" i="6"/>
  <c r="N37" i="6"/>
  <c r="H37" i="6"/>
  <c r="F37" i="6"/>
  <c r="E37" i="6"/>
  <c r="D37" i="6"/>
  <c r="C37" i="6"/>
  <c r="N19" i="6"/>
  <c r="H19" i="6"/>
  <c r="F19" i="6"/>
  <c r="E19" i="6"/>
  <c r="D19" i="6"/>
  <c r="N54" i="6"/>
  <c r="H54" i="6"/>
  <c r="F54" i="6"/>
  <c r="E54" i="6"/>
  <c r="D54" i="6"/>
  <c r="N100" i="6"/>
  <c r="H100" i="6"/>
  <c r="F100" i="6"/>
  <c r="E100" i="6"/>
  <c r="D100" i="6"/>
  <c r="N78" i="6"/>
  <c r="H78" i="6"/>
  <c r="F78" i="6"/>
  <c r="E78" i="6"/>
  <c r="D78" i="6"/>
  <c r="C78" i="6"/>
  <c r="N39" i="6"/>
  <c r="H39" i="6"/>
  <c r="F39" i="6"/>
  <c r="E39" i="6"/>
  <c r="D39" i="6"/>
  <c r="C39" i="6"/>
  <c r="N38" i="6"/>
  <c r="H38" i="6"/>
  <c r="F38" i="6"/>
  <c r="E38" i="6"/>
  <c r="D38" i="6"/>
  <c r="C38" i="6"/>
  <c r="N55" i="6"/>
  <c r="H55" i="6"/>
  <c r="F55" i="6"/>
  <c r="E55" i="6"/>
  <c r="D55" i="6"/>
  <c r="C55" i="6"/>
  <c r="N157" i="3"/>
  <c r="N197" i="3"/>
  <c r="N100" i="3"/>
  <c r="N181" i="3"/>
  <c r="N167" i="3"/>
  <c r="N92" i="3"/>
  <c r="N51" i="3"/>
  <c r="N110" i="3"/>
  <c r="N105" i="3"/>
  <c r="N118" i="3"/>
  <c r="N133" i="3"/>
  <c r="N121" i="3"/>
  <c r="N70" i="3"/>
  <c r="N137" i="3"/>
  <c r="N97" i="3"/>
  <c r="N49" i="3"/>
  <c r="N162" i="3"/>
  <c r="N130" i="3"/>
  <c r="N172" i="3"/>
  <c r="N160" i="3"/>
  <c r="N63" i="3"/>
  <c r="N177" i="3"/>
  <c r="N90" i="3"/>
  <c r="N23" i="3"/>
  <c r="N60" i="3"/>
  <c r="N150" i="3"/>
  <c r="N164" i="3"/>
  <c r="N161" i="3"/>
  <c r="N175" i="3"/>
  <c r="N89" i="3"/>
  <c r="N109" i="3"/>
  <c r="N40" i="3"/>
  <c r="N145" i="3"/>
  <c r="N38" i="3"/>
  <c r="N21" i="3"/>
  <c r="N46" i="3"/>
  <c r="N19" i="3"/>
  <c r="N123" i="3"/>
  <c r="N124" i="3"/>
  <c r="N80" i="3"/>
  <c r="N44" i="3"/>
  <c r="N143" i="3"/>
  <c r="N94" i="3"/>
  <c r="N116" i="3"/>
  <c r="N136" i="3"/>
  <c r="N75" i="3"/>
  <c r="N48" i="3"/>
  <c r="N81" i="3"/>
  <c r="N168" i="3"/>
  <c r="N87" i="3"/>
  <c r="N82" i="3"/>
  <c r="N50" i="3"/>
  <c r="N195" i="3"/>
  <c r="N15" i="3"/>
  <c r="N176" i="3"/>
  <c r="N114" i="3"/>
  <c r="N186" i="3"/>
  <c r="N170" i="3"/>
  <c r="N96" i="3"/>
  <c r="N24" i="3"/>
  <c r="N187" i="3"/>
  <c r="N36" i="3"/>
  <c r="N93" i="3"/>
  <c r="N111" i="3"/>
  <c r="N52" i="3"/>
  <c r="N159" i="3"/>
  <c r="N199" i="3"/>
  <c r="N115" i="3"/>
  <c r="N74" i="3"/>
  <c r="N68" i="3"/>
  <c r="N34" i="3"/>
  <c r="N83" i="3"/>
  <c r="N119" i="3"/>
  <c r="N120" i="3"/>
  <c r="N18" i="3"/>
  <c r="N56" i="3"/>
  <c r="N180" i="3"/>
  <c r="N84" i="3"/>
  <c r="N184" i="3"/>
  <c r="N185" i="3"/>
  <c r="N190" i="3"/>
  <c r="N148" i="3"/>
  <c r="N155" i="3"/>
  <c r="N54" i="3"/>
  <c r="N135" i="3"/>
  <c r="N146" i="3"/>
  <c r="N153" i="3"/>
  <c r="N30" i="3"/>
  <c r="N43" i="3"/>
  <c r="N179" i="3"/>
  <c r="N126" i="3"/>
  <c r="N55" i="3"/>
  <c r="N103" i="3"/>
  <c r="N76" i="3"/>
  <c r="N156" i="3"/>
  <c r="N165" i="3"/>
  <c r="N79" i="3"/>
  <c r="N33" i="3"/>
  <c r="N29" i="3"/>
  <c r="N22" i="3"/>
  <c r="N37" i="3"/>
  <c r="N78" i="3"/>
  <c r="N192" i="3"/>
  <c r="N47" i="3"/>
  <c r="N45" i="3"/>
  <c r="N61" i="3"/>
  <c r="N71" i="3"/>
  <c r="N77" i="3"/>
  <c r="N58" i="3"/>
  <c r="N88" i="3"/>
  <c r="N127" i="3"/>
  <c r="N53" i="3"/>
  <c r="N112" i="3"/>
  <c r="N178" i="3"/>
  <c r="N131" i="3"/>
  <c r="N91" i="3"/>
  <c r="N42" i="3"/>
  <c r="N141" i="3"/>
  <c r="N59" i="3"/>
  <c r="N28" i="3"/>
  <c r="N125" i="3"/>
  <c r="N200" i="3"/>
  <c r="N39" i="3"/>
  <c r="N198" i="3"/>
  <c r="N188" i="3"/>
  <c r="N108" i="3"/>
  <c r="N35" i="3"/>
  <c r="N20" i="3"/>
  <c r="N57" i="3"/>
  <c r="N147" i="3"/>
  <c r="N64" i="3"/>
  <c r="N72" i="3"/>
  <c r="N166" i="3"/>
  <c r="N66" i="3"/>
  <c r="N62" i="3"/>
  <c r="N158" i="3"/>
  <c r="N194" i="3"/>
  <c r="N107" i="3"/>
  <c r="N86" i="3"/>
  <c r="N67" i="3"/>
  <c r="N191" i="3"/>
  <c r="N122" i="3"/>
  <c r="N26" i="3"/>
  <c r="N65" i="3"/>
  <c r="N27" i="3"/>
  <c r="N152" i="3"/>
  <c r="N196" i="3"/>
  <c r="N16" i="3"/>
  <c r="N174" i="3"/>
  <c r="N128" i="3"/>
  <c r="N95" i="3"/>
  <c r="N144" i="3"/>
  <c r="N85" i="3"/>
  <c r="N138" i="3"/>
  <c r="N154" i="3"/>
  <c r="N129" i="3"/>
  <c r="N104" i="3"/>
  <c r="N173" i="3"/>
  <c r="N69" i="3"/>
  <c r="N99" i="3"/>
  <c r="N132" i="3"/>
  <c r="N98" i="3"/>
  <c r="N32" i="3"/>
  <c r="N183" i="3"/>
  <c r="N149" i="3"/>
  <c r="H157" i="3"/>
  <c r="H197" i="3"/>
  <c r="H100" i="3"/>
  <c r="H181" i="3"/>
  <c r="H167" i="3"/>
  <c r="H92" i="3"/>
  <c r="H51" i="3"/>
  <c r="P47" i="20" s="1"/>
  <c r="R47" i="20" s="1"/>
  <c r="H110" i="3"/>
  <c r="H105" i="3"/>
  <c r="H118" i="3"/>
  <c r="H133" i="3"/>
  <c r="H121" i="3"/>
  <c r="H70" i="3"/>
  <c r="H137" i="3"/>
  <c r="H97" i="3"/>
  <c r="H49" i="3"/>
  <c r="H162" i="3"/>
  <c r="H130" i="3"/>
  <c r="H172" i="3"/>
  <c r="H160" i="3"/>
  <c r="H63" i="3"/>
  <c r="H177" i="3"/>
  <c r="H90" i="3"/>
  <c r="H23" i="3"/>
  <c r="H60" i="3"/>
  <c r="H150" i="3"/>
  <c r="H164" i="3"/>
  <c r="H161" i="3"/>
  <c r="H175" i="3"/>
  <c r="H89" i="3"/>
  <c r="H109" i="3"/>
  <c r="H40" i="3"/>
  <c r="H145" i="3"/>
  <c r="H38" i="3"/>
  <c r="H21" i="3"/>
  <c r="H46" i="3"/>
  <c r="H19" i="3"/>
  <c r="H123" i="3"/>
  <c r="H124" i="3"/>
  <c r="H80" i="3"/>
  <c r="H44" i="3"/>
  <c r="H143" i="3"/>
  <c r="H94" i="3"/>
  <c r="H116" i="3"/>
  <c r="H136" i="3"/>
  <c r="H75" i="3"/>
  <c r="H48" i="3"/>
  <c r="H81" i="3"/>
  <c r="H168" i="3"/>
  <c r="H87" i="3"/>
  <c r="H82" i="3"/>
  <c r="H50" i="3"/>
  <c r="H195" i="3"/>
  <c r="H15" i="3"/>
  <c r="H176" i="3"/>
  <c r="H114" i="3"/>
  <c r="H186" i="3"/>
  <c r="H170" i="3"/>
  <c r="H96" i="3"/>
  <c r="H24" i="3"/>
  <c r="H187" i="3"/>
  <c r="H36" i="3"/>
  <c r="H93" i="3"/>
  <c r="H111" i="3"/>
  <c r="H52" i="3"/>
  <c r="H159" i="3"/>
  <c r="H199" i="3"/>
  <c r="H115" i="3"/>
  <c r="H74" i="3"/>
  <c r="H68" i="3"/>
  <c r="H34" i="3"/>
  <c r="H83" i="3"/>
  <c r="H119" i="3"/>
  <c r="H120" i="3"/>
  <c r="H18" i="3"/>
  <c r="H56" i="3"/>
  <c r="H180" i="3"/>
  <c r="H84" i="3"/>
  <c r="H184" i="3"/>
  <c r="H185" i="3"/>
  <c r="H190" i="3"/>
  <c r="H148" i="3"/>
  <c r="H155" i="3"/>
  <c r="H54" i="3"/>
  <c r="H135" i="3"/>
  <c r="H146" i="3"/>
  <c r="H153" i="3"/>
  <c r="H30" i="3"/>
  <c r="H43" i="3"/>
  <c r="H179" i="3"/>
  <c r="H126" i="3"/>
  <c r="H55" i="3"/>
  <c r="H103" i="3"/>
  <c r="H76" i="3"/>
  <c r="H156" i="3"/>
  <c r="H165" i="3"/>
  <c r="H79" i="3"/>
  <c r="P23" i="20" s="1"/>
  <c r="R23" i="20" s="1"/>
  <c r="H33" i="3"/>
  <c r="H29" i="3"/>
  <c r="H22" i="3"/>
  <c r="H37" i="3"/>
  <c r="H78" i="3"/>
  <c r="H192" i="3"/>
  <c r="H47" i="3"/>
  <c r="H45" i="3"/>
  <c r="H61" i="3"/>
  <c r="H71" i="3"/>
  <c r="H77" i="3"/>
  <c r="H58" i="3"/>
  <c r="H88" i="3"/>
  <c r="H127" i="3"/>
  <c r="H53" i="3"/>
  <c r="H112" i="3"/>
  <c r="H178" i="3"/>
  <c r="H131" i="3"/>
  <c r="H91" i="3"/>
  <c r="H42" i="3"/>
  <c r="P15" i="20" s="1"/>
  <c r="R15" i="20" s="1"/>
  <c r="H141" i="3"/>
  <c r="H59" i="3"/>
  <c r="H28" i="3"/>
  <c r="H125" i="3"/>
  <c r="H200" i="3"/>
  <c r="H39" i="3"/>
  <c r="H198" i="3"/>
  <c r="H188" i="3"/>
  <c r="H108" i="3"/>
  <c r="H35" i="3"/>
  <c r="H20" i="3"/>
  <c r="H57" i="3"/>
  <c r="H147" i="3"/>
  <c r="H64" i="3"/>
  <c r="H72" i="3"/>
  <c r="H166" i="3"/>
  <c r="H66" i="3"/>
  <c r="H62" i="3"/>
  <c r="H158" i="3"/>
  <c r="H194" i="3"/>
  <c r="H107" i="3"/>
  <c r="H86" i="3"/>
  <c r="H67" i="3"/>
  <c r="H191" i="3"/>
  <c r="H122" i="3"/>
  <c r="H26" i="3"/>
  <c r="H65" i="3"/>
  <c r="H27" i="3"/>
  <c r="H152" i="3"/>
  <c r="H196" i="3"/>
  <c r="H16" i="3"/>
  <c r="H174" i="3"/>
  <c r="H128" i="3"/>
  <c r="H95" i="3"/>
  <c r="H144" i="3"/>
  <c r="H85" i="3"/>
  <c r="H138" i="3"/>
  <c r="H154" i="3"/>
  <c r="H129" i="3"/>
  <c r="H104" i="3"/>
  <c r="H173" i="3"/>
  <c r="H69" i="3"/>
  <c r="H99" i="3"/>
  <c r="H132" i="3"/>
  <c r="H98" i="3"/>
  <c r="H32" i="3"/>
  <c r="H183" i="3"/>
  <c r="H149" i="3"/>
  <c r="F157" i="3"/>
  <c r="F197" i="3"/>
  <c r="F100" i="3"/>
  <c r="F181" i="3"/>
  <c r="F167" i="3"/>
  <c r="F92" i="3"/>
  <c r="F51" i="3"/>
  <c r="F110" i="3"/>
  <c r="F105" i="3"/>
  <c r="F118" i="3"/>
  <c r="F133" i="3"/>
  <c r="F121" i="3"/>
  <c r="F70" i="3"/>
  <c r="F137" i="3"/>
  <c r="F97" i="3"/>
  <c r="F49" i="3"/>
  <c r="F162" i="3"/>
  <c r="F130" i="3"/>
  <c r="F172" i="3"/>
  <c r="F160" i="3"/>
  <c r="F63" i="3"/>
  <c r="F177" i="3"/>
  <c r="F90" i="3"/>
  <c r="F23" i="3"/>
  <c r="F60" i="3"/>
  <c r="F150" i="3"/>
  <c r="F164" i="3"/>
  <c r="F161" i="3"/>
  <c r="F175" i="3"/>
  <c r="F89" i="3"/>
  <c r="F109" i="3"/>
  <c r="F40" i="3"/>
  <c r="F145" i="3"/>
  <c r="F38" i="3"/>
  <c r="F21" i="3"/>
  <c r="F46" i="3"/>
  <c r="F19" i="3"/>
  <c r="F123" i="3"/>
  <c r="F124" i="3"/>
  <c r="F80" i="3"/>
  <c r="F44" i="3"/>
  <c r="F143" i="3"/>
  <c r="F94" i="3"/>
  <c r="F116" i="3"/>
  <c r="F136" i="3"/>
  <c r="F75" i="3"/>
  <c r="F48" i="3"/>
  <c r="F81" i="3"/>
  <c r="F168" i="3"/>
  <c r="F87" i="3"/>
  <c r="F82" i="3"/>
  <c r="F50" i="3"/>
  <c r="F195" i="3"/>
  <c r="F15" i="3"/>
  <c r="F176" i="3"/>
  <c r="F114" i="3"/>
  <c r="F186" i="3"/>
  <c r="F170" i="3"/>
  <c r="F96" i="3"/>
  <c r="F24" i="3"/>
  <c r="F187" i="3"/>
  <c r="F36" i="3"/>
  <c r="F93" i="3"/>
  <c r="F111" i="3"/>
  <c r="F52" i="3"/>
  <c r="F159" i="3"/>
  <c r="F199" i="3"/>
  <c r="F115" i="3"/>
  <c r="F74" i="3"/>
  <c r="F68" i="3"/>
  <c r="F34" i="3"/>
  <c r="F83" i="3"/>
  <c r="F119" i="3"/>
  <c r="F120" i="3"/>
  <c r="F18" i="3"/>
  <c r="F56" i="3"/>
  <c r="F180" i="3"/>
  <c r="F84" i="3"/>
  <c r="F184" i="3"/>
  <c r="F185" i="3"/>
  <c r="F190" i="3"/>
  <c r="F148" i="3"/>
  <c r="F155" i="3"/>
  <c r="F54" i="3"/>
  <c r="F135" i="3"/>
  <c r="F146" i="3"/>
  <c r="F153" i="3"/>
  <c r="F30" i="3"/>
  <c r="F43" i="3"/>
  <c r="F179" i="3"/>
  <c r="F126" i="3"/>
  <c r="F55" i="3"/>
  <c r="F103" i="3"/>
  <c r="F76" i="3"/>
  <c r="F156" i="3"/>
  <c r="F165" i="3"/>
  <c r="F79" i="3"/>
  <c r="F33" i="3"/>
  <c r="F29" i="3"/>
  <c r="F22" i="3"/>
  <c r="F37" i="3"/>
  <c r="F78" i="3"/>
  <c r="F192" i="3"/>
  <c r="F47" i="3"/>
  <c r="F45" i="3"/>
  <c r="F61" i="3"/>
  <c r="F71" i="3"/>
  <c r="F77" i="3"/>
  <c r="F58" i="3"/>
  <c r="F88" i="3"/>
  <c r="F127" i="3"/>
  <c r="F53" i="3"/>
  <c r="F112" i="3"/>
  <c r="F178" i="3"/>
  <c r="F131" i="3"/>
  <c r="F91" i="3"/>
  <c r="F42" i="3"/>
  <c r="F141" i="3"/>
  <c r="F59" i="3"/>
  <c r="F28" i="3"/>
  <c r="F125" i="3"/>
  <c r="F200" i="3"/>
  <c r="F39" i="3"/>
  <c r="F198" i="3"/>
  <c r="F188" i="3"/>
  <c r="F108" i="3"/>
  <c r="F35" i="3"/>
  <c r="F20" i="3"/>
  <c r="F57" i="3"/>
  <c r="F147" i="3"/>
  <c r="F64" i="3"/>
  <c r="F72" i="3"/>
  <c r="F166" i="3"/>
  <c r="F66" i="3"/>
  <c r="F62" i="3"/>
  <c r="F158" i="3"/>
  <c r="F194" i="3"/>
  <c r="F107" i="3"/>
  <c r="F86" i="3"/>
  <c r="F67" i="3"/>
  <c r="F191" i="3"/>
  <c r="F122" i="3"/>
  <c r="F26" i="3"/>
  <c r="F65" i="3"/>
  <c r="F27" i="3"/>
  <c r="F152" i="3"/>
  <c r="F196" i="3"/>
  <c r="F16" i="3"/>
  <c r="F174" i="3"/>
  <c r="F128" i="3"/>
  <c r="F95" i="3"/>
  <c r="F144" i="3"/>
  <c r="F85" i="3"/>
  <c r="F138" i="3"/>
  <c r="F154" i="3"/>
  <c r="F129" i="3"/>
  <c r="F104" i="3"/>
  <c r="F173" i="3"/>
  <c r="F69" i="3"/>
  <c r="F99" i="3"/>
  <c r="F132" i="3"/>
  <c r="F98" i="3"/>
  <c r="F32" i="3"/>
  <c r="F183" i="3"/>
  <c r="F149" i="3"/>
  <c r="E157" i="3"/>
  <c r="E197" i="3"/>
  <c r="E100" i="3"/>
  <c r="E181" i="3"/>
  <c r="E167" i="3"/>
  <c r="E92" i="3"/>
  <c r="E51" i="3"/>
  <c r="E110" i="3"/>
  <c r="E105" i="3"/>
  <c r="E118" i="3"/>
  <c r="E133" i="3"/>
  <c r="E121" i="3"/>
  <c r="E70" i="3"/>
  <c r="E137" i="3"/>
  <c r="E97" i="3"/>
  <c r="E49" i="3"/>
  <c r="E162" i="3"/>
  <c r="E130" i="3"/>
  <c r="E172" i="3"/>
  <c r="E160" i="3"/>
  <c r="E63" i="3"/>
  <c r="E177" i="3"/>
  <c r="E90" i="3"/>
  <c r="E23" i="3"/>
  <c r="E60" i="3"/>
  <c r="E150" i="3"/>
  <c r="E164" i="3"/>
  <c r="E161" i="3"/>
  <c r="E175" i="3"/>
  <c r="E89" i="3"/>
  <c r="E109" i="3"/>
  <c r="E40" i="3"/>
  <c r="E145" i="3"/>
  <c r="E38" i="3"/>
  <c r="E21" i="3"/>
  <c r="E46" i="3"/>
  <c r="E19" i="3"/>
  <c r="E123" i="3"/>
  <c r="E124" i="3"/>
  <c r="E80" i="3"/>
  <c r="E44" i="3"/>
  <c r="E143" i="3"/>
  <c r="E94" i="3"/>
  <c r="E116" i="3"/>
  <c r="E136" i="3"/>
  <c r="E75" i="3"/>
  <c r="E48" i="3"/>
  <c r="E81" i="3"/>
  <c r="E168" i="3"/>
  <c r="E87" i="3"/>
  <c r="E82" i="3"/>
  <c r="E50" i="3"/>
  <c r="E195" i="3"/>
  <c r="E15" i="3"/>
  <c r="E176" i="3"/>
  <c r="E114" i="3"/>
  <c r="E186" i="3"/>
  <c r="E170" i="3"/>
  <c r="E96" i="3"/>
  <c r="E24" i="3"/>
  <c r="E187" i="3"/>
  <c r="E36" i="3"/>
  <c r="E93" i="3"/>
  <c r="E111" i="3"/>
  <c r="E52" i="3"/>
  <c r="E159" i="3"/>
  <c r="E199" i="3"/>
  <c r="E115" i="3"/>
  <c r="E74" i="3"/>
  <c r="E68" i="3"/>
  <c r="E34" i="3"/>
  <c r="E83" i="3"/>
  <c r="E119" i="3"/>
  <c r="E120" i="3"/>
  <c r="E18" i="3"/>
  <c r="E56" i="3"/>
  <c r="E180" i="3"/>
  <c r="E84" i="3"/>
  <c r="E184" i="3"/>
  <c r="E185" i="3"/>
  <c r="E190" i="3"/>
  <c r="E148" i="3"/>
  <c r="E155" i="3"/>
  <c r="E54" i="3"/>
  <c r="E135" i="3"/>
  <c r="E146" i="3"/>
  <c r="E153" i="3"/>
  <c r="E30" i="3"/>
  <c r="E43" i="3"/>
  <c r="E179" i="3"/>
  <c r="E126" i="3"/>
  <c r="E55" i="3"/>
  <c r="E103" i="3"/>
  <c r="E76" i="3"/>
  <c r="E156" i="3"/>
  <c r="E165" i="3"/>
  <c r="E79" i="3"/>
  <c r="E33" i="3"/>
  <c r="E29" i="3"/>
  <c r="E22" i="3"/>
  <c r="E37" i="3"/>
  <c r="E78" i="3"/>
  <c r="E192" i="3"/>
  <c r="E47" i="3"/>
  <c r="E45" i="3"/>
  <c r="E61" i="3"/>
  <c r="E71" i="3"/>
  <c r="E77" i="3"/>
  <c r="E58" i="3"/>
  <c r="E88" i="3"/>
  <c r="E127" i="3"/>
  <c r="E53" i="3"/>
  <c r="E112" i="3"/>
  <c r="E178" i="3"/>
  <c r="E131" i="3"/>
  <c r="E91" i="3"/>
  <c r="E42" i="3"/>
  <c r="E141" i="3"/>
  <c r="E59" i="3"/>
  <c r="E28" i="3"/>
  <c r="E125" i="3"/>
  <c r="E200" i="3"/>
  <c r="E39" i="3"/>
  <c r="E198" i="3"/>
  <c r="E188" i="3"/>
  <c r="E108" i="3"/>
  <c r="E35" i="3"/>
  <c r="E20" i="3"/>
  <c r="E57" i="3"/>
  <c r="E147" i="3"/>
  <c r="E64" i="3"/>
  <c r="E72" i="3"/>
  <c r="E166" i="3"/>
  <c r="E66" i="3"/>
  <c r="E62" i="3"/>
  <c r="E158" i="3"/>
  <c r="E194" i="3"/>
  <c r="E107" i="3"/>
  <c r="E86" i="3"/>
  <c r="E67" i="3"/>
  <c r="E191" i="3"/>
  <c r="E122" i="3"/>
  <c r="E26" i="3"/>
  <c r="E65" i="3"/>
  <c r="E27" i="3"/>
  <c r="E152" i="3"/>
  <c r="E196" i="3"/>
  <c r="E16" i="3"/>
  <c r="E174" i="3"/>
  <c r="E128" i="3"/>
  <c r="E95" i="3"/>
  <c r="E144" i="3"/>
  <c r="E85" i="3"/>
  <c r="E138" i="3"/>
  <c r="E154" i="3"/>
  <c r="E129" i="3"/>
  <c r="E104" i="3"/>
  <c r="E173" i="3"/>
  <c r="E69" i="3"/>
  <c r="E99" i="3"/>
  <c r="E132" i="3"/>
  <c r="E98" i="3"/>
  <c r="E32" i="3"/>
  <c r="E183" i="3"/>
  <c r="E149" i="3"/>
  <c r="D157" i="3"/>
  <c r="D197" i="3"/>
  <c r="D100" i="3"/>
  <c r="D181" i="3"/>
  <c r="D167" i="3"/>
  <c r="D92" i="3"/>
  <c r="D51" i="3"/>
  <c r="D110" i="3"/>
  <c r="D105" i="3"/>
  <c r="D118" i="3"/>
  <c r="D133" i="3"/>
  <c r="D121" i="3"/>
  <c r="D70" i="3"/>
  <c r="D137" i="3"/>
  <c r="D97" i="3"/>
  <c r="D49" i="3"/>
  <c r="D162" i="3"/>
  <c r="D130" i="3"/>
  <c r="D172" i="3"/>
  <c r="D160" i="3"/>
  <c r="D63" i="3"/>
  <c r="D177" i="3"/>
  <c r="D90" i="3"/>
  <c r="D23" i="3"/>
  <c r="D60" i="3"/>
  <c r="D150" i="3"/>
  <c r="D164" i="3"/>
  <c r="D161" i="3"/>
  <c r="D175" i="3"/>
  <c r="D89" i="3"/>
  <c r="D109" i="3"/>
  <c r="D40" i="3"/>
  <c r="D145" i="3"/>
  <c r="D38" i="3"/>
  <c r="D21" i="3"/>
  <c r="D46" i="3"/>
  <c r="D19" i="3"/>
  <c r="D123" i="3"/>
  <c r="D124" i="3"/>
  <c r="D80" i="3"/>
  <c r="D44" i="3"/>
  <c r="D143" i="3"/>
  <c r="D94" i="3"/>
  <c r="D116" i="3"/>
  <c r="D136" i="3"/>
  <c r="D75" i="3"/>
  <c r="D48" i="3"/>
  <c r="D81" i="3"/>
  <c r="D168" i="3"/>
  <c r="D87" i="3"/>
  <c r="D82" i="3"/>
  <c r="D50" i="3"/>
  <c r="D195" i="3"/>
  <c r="D15" i="3"/>
  <c r="D176" i="3"/>
  <c r="D114" i="3"/>
  <c r="D186" i="3"/>
  <c r="D170" i="3"/>
  <c r="D96" i="3"/>
  <c r="D24" i="3"/>
  <c r="D187" i="3"/>
  <c r="D36" i="3"/>
  <c r="D93" i="3"/>
  <c r="D111" i="3"/>
  <c r="D52" i="3"/>
  <c r="D159" i="3"/>
  <c r="D199" i="3"/>
  <c r="D115" i="3"/>
  <c r="D74" i="3"/>
  <c r="D68" i="3"/>
  <c r="D34" i="3"/>
  <c r="D83" i="3"/>
  <c r="D119" i="3"/>
  <c r="D120" i="3"/>
  <c r="D18" i="3"/>
  <c r="D56" i="3"/>
  <c r="D180" i="3"/>
  <c r="D84" i="3"/>
  <c r="D184" i="3"/>
  <c r="D185" i="3"/>
  <c r="D190" i="3"/>
  <c r="D148" i="3"/>
  <c r="D155" i="3"/>
  <c r="D54" i="3"/>
  <c r="D135" i="3"/>
  <c r="D146" i="3"/>
  <c r="D153" i="3"/>
  <c r="D30" i="3"/>
  <c r="D43" i="3"/>
  <c r="D179" i="3"/>
  <c r="D126" i="3"/>
  <c r="D55" i="3"/>
  <c r="D103" i="3"/>
  <c r="D76" i="3"/>
  <c r="D156" i="3"/>
  <c r="D165" i="3"/>
  <c r="D79" i="3"/>
  <c r="D33" i="3"/>
  <c r="D29" i="3"/>
  <c r="D22" i="3"/>
  <c r="D37" i="3"/>
  <c r="D78" i="3"/>
  <c r="D192" i="3"/>
  <c r="D47" i="3"/>
  <c r="D45" i="3"/>
  <c r="D61" i="3"/>
  <c r="D71" i="3"/>
  <c r="D77" i="3"/>
  <c r="D58" i="3"/>
  <c r="D88" i="3"/>
  <c r="D127" i="3"/>
  <c r="D53" i="3"/>
  <c r="D112" i="3"/>
  <c r="D178" i="3"/>
  <c r="D131" i="3"/>
  <c r="D91" i="3"/>
  <c r="D42" i="3"/>
  <c r="D141" i="3"/>
  <c r="D59" i="3"/>
  <c r="D28" i="3"/>
  <c r="D125" i="3"/>
  <c r="D200" i="3"/>
  <c r="D39" i="3"/>
  <c r="D198" i="3"/>
  <c r="D188" i="3"/>
  <c r="D108" i="3"/>
  <c r="D35" i="3"/>
  <c r="D20" i="3"/>
  <c r="D57" i="3"/>
  <c r="D147" i="3"/>
  <c r="D64" i="3"/>
  <c r="D72" i="3"/>
  <c r="D166" i="3"/>
  <c r="D66" i="3"/>
  <c r="D62" i="3"/>
  <c r="D158" i="3"/>
  <c r="D194" i="3"/>
  <c r="D107" i="3"/>
  <c r="D86" i="3"/>
  <c r="D67" i="3"/>
  <c r="D191" i="3"/>
  <c r="D122" i="3"/>
  <c r="D26" i="3"/>
  <c r="D65" i="3"/>
  <c r="D27" i="3"/>
  <c r="D152" i="3"/>
  <c r="D196" i="3"/>
  <c r="D16" i="3"/>
  <c r="D174" i="3"/>
  <c r="D128" i="3"/>
  <c r="D95" i="3"/>
  <c r="D144" i="3"/>
  <c r="D85" i="3"/>
  <c r="D138" i="3"/>
  <c r="D154" i="3"/>
  <c r="D129" i="3"/>
  <c r="D104" i="3"/>
  <c r="D173" i="3"/>
  <c r="D69" i="3"/>
  <c r="D99" i="3"/>
  <c r="D132" i="3"/>
  <c r="D98" i="3"/>
  <c r="D32" i="3"/>
  <c r="D183" i="3"/>
  <c r="D149" i="3"/>
  <c r="C162" i="3"/>
  <c r="C130" i="3"/>
  <c r="C172" i="3"/>
  <c r="C177" i="3"/>
  <c r="C90" i="3"/>
  <c r="C23" i="3"/>
  <c r="C60" i="3"/>
  <c r="C150" i="3"/>
  <c r="C164" i="3"/>
  <c r="C161" i="3"/>
  <c r="C89" i="3"/>
  <c r="C109" i="3"/>
  <c r="C40" i="3"/>
  <c r="C145" i="3"/>
  <c r="C38" i="3"/>
  <c r="C21" i="3"/>
  <c r="C46" i="3"/>
  <c r="C19" i="3"/>
  <c r="C123" i="3"/>
  <c r="C124" i="3"/>
  <c r="C80" i="3"/>
  <c r="C44" i="3"/>
  <c r="C143" i="3"/>
  <c r="C94" i="3"/>
  <c r="C116" i="3"/>
  <c r="C136" i="3"/>
  <c r="C75" i="3"/>
  <c r="C48" i="3"/>
  <c r="C81" i="3"/>
  <c r="C168" i="3"/>
  <c r="C87" i="3"/>
  <c r="C82" i="3"/>
  <c r="C50" i="3"/>
  <c r="C195" i="3"/>
  <c r="C15" i="3"/>
  <c r="C176" i="3"/>
  <c r="C114" i="3"/>
  <c r="C186" i="3"/>
  <c r="C170" i="3"/>
  <c r="C96" i="3"/>
  <c r="C24" i="3"/>
  <c r="C187" i="3"/>
  <c r="C36" i="3"/>
  <c r="C93" i="3"/>
  <c r="C111" i="3"/>
  <c r="C52" i="3"/>
  <c r="C159" i="3"/>
  <c r="C199" i="3"/>
  <c r="C115" i="3"/>
  <c r="C74" i="3"/>
  <c r="C68" i="3"/>
  <c r="C34" i="3"/>
  <c r="C83" i="3"/>
  <c r="C119" i="3"/>
  <c r="C120" i="3"/>
  <c r="C18" i="3"/>
  <c r="C56" i="3"/>
  <c r="C180" i="3"/>
  <c r="C84" i="3"/>
  <c r="C184" i="3"/>
  <c r="C185" i="3"/>
  <c r="C190" i="3"/>
  <c r="C148" i="3"/>
  <c r="C155" i="3"/>
  <c r="C54" i="3"/>
  <c r="C135" i="3"/>
  <c r="C146" i="3"/>
  <c r="C153" i="3"/>
  <c r="C30" i="3"/>
  <c r="C43" i="3"/>
  <c r="C179" i="3"/>
  <c r="C126" i="3"/>
  <c r="C55" i="3"/>
  <c r="C103" i="3"/>
  <c r="C76" i="3"/>
  <c r="C156" i="3"/>
  <c r="C165" i="3"/>
  <c r="C79" i="3"/>
  <c r="C33" i="3"/>
  <c r="C29" i="3"/>
  <c r="C22" i="3"/>
  <c r="C37" i="3"/>
  <c r="C78" i="3"/>
  <c r="C192" i="3"/>
  <c r="C47" i="3"/>
  <c r="C45" i="3"/>
  <c r="C61" i="3"/>
  <c r="C71" i="3"/>
  <c r="C77" i="3"/>
  <c r="C58" i="3"/>
  <c r="C88" i="3"/>
  <c r="C127" i="3"/>
  <c r="C53" i="3"/>
  <c r="C112" i="3"/>
  <c r="C178" i="3"/>
  <c r="C131" i="3"/>
  <c r="C91" i="3"/>
  <c r="C42" i="3"/>
  <c r="C141" i="3"/>
  <c r="C59" i="3"/>
  <c r="C28" i="3"/>
  <c r="C125" i="3"/>
  <c r="C200" i="3"/>
  <c r="C39" i="3"/>
  <c r="C198" i="3"/>
  <c r="C188" i="3"/>
  <c r="C108" i="3"/>
  <c r="C35" i="3"/>
  <c r="C20" i="3"/>
  <c r="C57" i="3"/>
  <c r="C147" i="3"/>
  <c r="C64" i="3"/>
  <c r="C72" i="3"/>
  <c r="C166" i="3"/>
  <c r="C66" i="3"/>
  <c r="C62" i="3"/>
  <c r="C158" i="3"/>
  <c r="C194" i="3"/>
  <c r="C107" i="3"/>
  <c r="C86" i="3"/>
  <c r="C67" i="3"/>
  <c r="C191" i="3"/>
  <c r="C122" i="3"/>
  <c r="C26" i="3"/>
  <c r="C65" i="3"/>
  <c r="C27" i="3"/>
  <c r="C152" i="3"/>
  <c r="C196" i="3"/>
  <c r="C16" i="3"/>
  <c r="C174" i="3"/>
  <c r="C128" i="3"/>
  <c r="C95" i="3"/>
  <c r="C144" i="3"/>
  <c r="C85" i="3"/>
  <c r="C138" i="3"/>
  <c r="C154" i="3"/>
  <c r="C129" i="3"/>
  <c r="C104" i="3"/>
  <c r="C173" i="3"/>
  <c r="C69" i="3"/>
  <c r="C99" i="3"/>
  <c r="C132" i="3"/>
  <c r="C98" i="3"/>
  <c r="C32" i="3"/>
  <c r="C183" i="3"/>
  <c r="C149" i="3"/>
  <c r="U189" i="3" l="1"/>
  <c r="K189" i="3"/>
  <c r="J189" i="3"/>
  <c r="P29" i="20"/>
  <c r="R29" i="20" s="1"/>
  <c r="P42" i="20"/>
  <c r="R42" i="20" s="1"/>
  <c r="P46" i="20"/>
  <c r="R46" i="20" s="1"/>
  <c r="P21" i="20"/>
  <c r="R21" i="20" s="1"/>
  <c r="P14" i="20"/>
  <c r="R14" i="20" s="1"/>
  <c r="P20" i="20"/>
  <c r="R20" i="20" s="1"/>
  <c r="P28" i="20"/>
  <c r="R28" i="20" s="1"/>
  <c r="P18" i="20"/>
  <c r="R18" i="20" s="1"/>
  <c r="P32" i="20"/>
  <c r="R32" i="20" s="1"/>
  <c r="P17" i="20"/>
  <c r="R17" i="20" s="1"/>
  <c r="P30" i="20"/>
  <c r="R30" i="20" s="1"/>
  <c r="P22" i="20"/>
  <c r="R22" i="20" s="1"/>
  <c r="P25" i="20"/>
  <c r="R25" i="20" s="1"/>
  <c r="P24" i="20"/>
  <c r="R24" i="20" s="1"/>
  <c r="P36" i="20"/>
  <c r="R36" i="20" s="1"/>
  <c r="P26" i="20"/>
  <c r="R26" i="20" s="1"/>
  <c r="P31" i="20"/>
  <c r="R31" i="20" s="1"/>
  <c r="P27" i="20"/>
  <c r="R27" i="20" s="1"/>
  <c r="P33" i="20"/>
  <c r="R33" i="20" s="1"/>
  <c r="P45" i="20"/>
  <c r="R45" i="20" s="1"/>
  <c r="P39" i="20"/>
  <c r="R39" i="20" s="1"/>
  <c r="P41" i="20"/>
  <c r="R41" i="20" s="1"/>
  <c r="P44" i="20"/>
  <c r="R44" i="20" s="1"/>
  <c r="P37" i="20"/>
  <c r="R37" i="20" s="1"/>
  <c r="P40" i="20"/>
  <c r="R40" i="20" s="1"/>
  <c r="P19" i="20"/>
  <c r="R19" i="20" s="1"/>
  <c r="P13" i="20"/>
  <c r="R13" i="20" s="1"/>
  <c r="P43" i="20"/>
  <c r="R43" i="20" s="1"/>
  <c r="P38" i="20"/>
  <c r="R38" i="20" s="1"/>
  <c r="P48" i="20"/>
  <c r="R48" i="20" s="1"/>
  <c r="P16" i="20"/>
  <c r="R16" i="20" s="1"/>
  <c r="U98" i="3"/>
  <c r="U69" i="3"/>
  <c r="U95" i="3"/>
  <c r="U26" i="3"/>
  <c r="U62" i="3"/>
  <c r="U35" i="3"/>
  <c r="U59" i="3"/>
  <c r="U127" i="3"/>
  <c r="U192" i="3"/>
  <c r="U156" i="3"/>
  <c r="U153" i="3"/>
  <c r="U184" i="3"/>
  <c r="U34" i="3"/>
  <c r="U93" i="3"/>
  <c r="U176" i="3"/>
  <c r="U48" i="3"/>
  <c r="U124" i="3"/>
  <c r="U109" i="3"/>
  <c r="U90" i="3"/>
  <c r="U97" i="3"/>
  <c r="U51" i="3"/>
  <c r="U173" i="3"/>
  <c r="U128" i="3"/>
  <c r="U122" i="3"/>
  <c r="U66" i="3"/>
  <c r="U108" i="3"/>
  <c r="U141" i="3"/>
  <c r="U88" i="3"/>
  <c r="U78" i="3"/>
  <c r="U76" i="3"/>
  <c r="U146" i="3"/>
  <c r="U84" i="3"/>
  <c r="U68" i="3"/>
  <c r="U36" i="3"/>
  <c r="U15" i="3"/>
  <c r="U201" i="3"/>
  <c r="U106" i="3"/>
  <c r="U31" i="3"/>
  <c r="U139" i="3"/>
  <c r="U163" i="3"/>
  <c r="U41" i="3"/>
  <c r="U117" i="3"/>
  <c r="U169" i="3"/>
  <c r="U73" i="3"/>
  <c r="U142" i="3"/>
  <c r="U151" i="3"/>
  <c r="U193" i="3"/>
  <c r="U102" i="3"/>
  <c r="U140" i="3"/>
  <c r="U17" i="3"/>
  <c r="U134" i="3"/>
  <c r="U25" i="3"/>
  <c r="U101" i="3"/>
  <c r="U182" i="3"/>
  <c r="U113" i="3"/>
  <c r="U171" i="3"/>
  <c r="U75" i="3"/>
  <c r="U123" i="3"/>
  <c r="U89" i="3"/>
  <c r="U177" i="3"/>
  <c r="U137" i="3"/>
  <c r="U92" i="3"/>
  <c r="U149" i="3"/>
  <c r="U104" i="3"/>
  <c r="U174" i="3"/>
  <c r="U191" i="3"/>
  <c r="U166" i="3"/>
  <c r="U188" i="3"/>
  <c r="U42" i="3"/>
  <c r="U58" i="3"/>
  <c r="U37" i="3"/>
  <c r="U103" i="3"/>
  <c r="U135" i="3"/>
  <c r="U180" i="3"/>
  <c r="U74" i="3"/>
  <c r="U187" i="3"/>
  <c r="U195" i="3"/>
  <c r="U136" i="3"/>
  <c r="U19" i="3"/>
  <c r="U175" i="3"/>
  <c r="U63" i="3"/>
  <c r="U70" i="3"/>
  <c r="U167" i="3"/>
  <c r="U183" i="3"/>
  <c r="U129" i="3"/>
  <c r="U16" i="3"/>
  <c r="U67" i="3"/>
  <c r="U72" i="3"/>
  <c r="U198" i="3"/>
  <c r="U91" i="3"/>
  <c r="U77" i="3"/>
  <c r="U22" i="3"/>
  <c r="U55" i="3"/>
  <c r="U54" i="3"/>
  <c r="U56" i="3"/>
  <c r="U115" i="3"/>
  <c r="U24" i="3"/>
  <c r="U50" i="3"/>
  <c r="U116" i="3"/>
  <c r="U46" i="3"/>
  <c r="U161" i="3"/>
  <c r="U160" i="3"/>
  <c r="U121" i="3"/>
  <c r="U181" i="3"/>
  <c r="U32" i="3"/>
  <c r="U154" i="3"/>
  <c r="U196" i="3"/>
  <c r="U86" i="3"/>
  <c r="U64" i="3"/>
  <c r="U39" i="3"/>
  <c r="U131" i="3"/>
  <c r="U71" i="3"/>
  <c r="U29" i="3"/>
  <c r="U126" i="3"/>
  <c r="U155" i="3"/>
  <c r="U18" i="3"/>
  <c r="U199" i="3"/>
  <c r="U96" i="3"/>
  <c r="U82" i="3"/>
  <c r="U94" i="3"/>
  <c r="U21" i="3"/>
  <c r="U164" i="3"/>
  <c r="U172" i="3"/>
  <c r="U133" i="3"/>
  <c r="U100" i="3"/>
  <c r="U138" i="3"/>
  <c r="U152" i="3"/>
  <c r="U107" i="3"/>
  <c r="U147" i="3"/>
  <c r="U200" i="3"/>
  <c r="U178" i="3"/>
  <c r="U61" i="3"/>
  <c r="U33" i="3"/>
  <c r="U179" i="3"/>
  <c r="U148" i="3"/>
  <c r="U120" i="3"/>
  <c r="U159" i="3"/>
  <c r="U170" i="3"/>
  <c r="U87" i="3"/>
  <c r="U143" i="3"/>
  <c r="U38" i="3"/>
  <c r="U150" i="3"/>
  <c r="U130" i="3"/>
  <c r="U118" i="3"/>
  <c r="U197" i="3"/>
  <c r="U132" i="3"/>
  <c r="U85" i="3"/>
  <c r="U27" i="3"/>
  <c r="U194" i="3"/>
  <c r="U57" i="3"/>
  <c r="U125" i="3"/>
  <c r="U112" i="3"/>
  <c r="U45" i="3"/>
  <c r="U79" i="3"/>
  <c r="U43" i="3"/>
  <c r="U190" i="3"/>
  <c r="U119" i="3"/>
  <c r="U52" i="3"/>
  <c r="U186" i="3"/>
  <c r="U168" i="3"/>
  <c r="U44" i="3"/>
  <c r="U145" i="3"/>
  <c r="U60" i="3"/>
  <c r="U162" i="3"/>
  <c r="U105" i="3"/>
  <c r="U157" i="3"/>
  <c r="U99" i="3"/>
  <c r="U144" i="3"/>
  <c r="U65" i="3"/>
  <c r="U158" i="3"/>
  <c r="U20" i="3"/>
  <c r="U28" i="3"/>
  <c r="U53" i="3"/>
  <c r="U47" i="3"/>
  <c r="U165" i="3"/>
  <c r="U30" i="3"/>
  <c r="U185" i="3"/>
  <c r="U83" i="3"/>
  <c r="U111" i="3"/>
  <c r="U114" i="3"/>
  <c r="U81" i="3"/>
  <c r="U80" i="3"/>
  <c r="U40" i="3"/>
  <c r="U23" i="3"/>
  <c r="U49" i="3"/>
  <c r="U110" i="3"/>
  <c r="J89" i="6"/>
  <c r="J69" i="6"/>
  <c r="J116" i="6"/>
  <c r="K89" i="6"/>
  <c r="K116" i="6"/>
  <c r="K69" i="6"/>
  <c r="K201" i="3"/>
  <c r="J201" i="3"/>
  <c r="J169" i="3"/>
  <c r="J151" i="3"/>
  <c r="J163" i="3"/>
  <c r="K163" i="3"/>
  <c r="K151" i="3"/>
  <c r="K169" i="3"/>
  <c r="K22" i="6"/>
  <c r="K18" i="6"/>
  <c r="K103" i="6"/>
  <c r="K113" i="6"/>
  <c r="K53" i="6"/>
  <c r="K46" i="6"/>
  <c r="K41" i="6"/>
  <c r="K114" i="6"/>
  <c r="K73" i="6"/>
  <c r="K29" i="6"/>
  <c r="K83" i="6"/>
  <c r="K108" i="6"/>
  <c r="K91" i="6"/>
  <c r="K35" i="6"/>
  <c r="K104" i="6"/>
  <c r="K115" i="6"/>
  <c r="K85" i="6"/>
  <c r="K92" i="6"/>
  <c r="J41" i="6"/>
  <c r="J114" i="6"/>
  <c r="J83" i="6"/>
  <c r="J108" i="6"/>
  <c r="J91" i="6"/>
  <c r="J35" i="6"/>
  <c r="J113" i="6"/>
  <c r="J92" i="6"/>
  <c r="J85" i="6"/>
  <c r="J104" i="6"/>
  <c r="J115" i="6"/>
  <c r="J73" i="6"/>
  <c r="J29" i="6"/>
  <c r="J22" i="6"/>
  <c r="J18" i="6"/>
  <c r="J103" i="6"/>
  <c r="J53" i="6"/>
  <c r="J46" i="6"/>
  <c r="J31" i="3"/>
  <c r="J142" i="3"/>
  <c r="J73" i="3"/>
  <c r="J117" i="3"/>
  <c r="J41" i="3"/>
  <c r="J139" i="3"/>
  <c r="J106" i="3"/>
  <c r="K31" i="3"/>
  <c r="K142" i="3"/>
  <c r="K73" i="3"/>
  <c r="K117" i="3"/>
  <c r="K41" i="3"/>
  <c r="K139" i="3"/>
  <c r="K106" i="3"/>
  <c r="K102" i="3"/>
  <c r="J102" i="3"/>
  <c r="J193" i="3"/>
  <c r="K193" i="3"/>
  <c r="K140" i="3"/>
  <c r="J140" i="3"/>
  <c r="K134" i="3"/>
  <c r="K17" i="3"/>
  <c r="J17" i="3"/>
  <c r="J134" i="3"/>
  <c r="K105" i="6"/>
  <c r="J105" i="6"/>
  <c r="K25" i="3"/>
  <c r="J25" i="3"/>
  <c r="K64" i="6"/>
  <c r="J64" i="6"/>
  <c r="K90" i="6"/>
  <c r="J90" i="6"/>
  <c r="J182" i="3"/>
  <c r="J101" i="3"/>
  <c r="K101" i="3"/>
  <c r="K182" i="3"/>
  <c r="P93" i="6"/>
  <c r="P75" i="6"/>
  <c r="P30" i="6"/>
  <c r="P44" i="6"/>
  <c r="P87" i="6"/>
  <c r="P12" i="6"/>
  <c r="P20" i="6"/>
  <c r="P110" i="6"/>
  <c r="P68" i="6"/>
  <c r="P58" i="6"/>
  <c r="P56" i="6"/>
  <c r="P99" i="6"/>
  <c r="P94" i="6"/>
  <c r="P32" i="6"/>
  <c r="P60" i="6"/>
  <c r="P70" i="6"/>
  <c r="P106" i="6"/>
  <c r="P101" i="6"/>
  <c r="P95" i="6"/>
  <c r="P61" i="6"/>
  <c r="P24" i="6"/>
  <c r="P84" i="6"/>
  <c r="P40" i="6"/>
  <c r="P15" i="6"/>
  <c r="P63" i="6"/>
  <c r="P51" i="6"/>
  <c r="P34" i="6"/>
  <c r="P62" i="6"/>
  <c r="P72" i="6"/>
  <c r="P21" i="6"/>
  <c r="P111" i="6"/>
  <c r="P98" i="6"/>
  <c r="P45" i="6"/>
  <c r="P16" i="6"/>
  <c r="P27" i="6"/>
  <c r="P26" i="6"/>
  <c r="P36" i="6"/>
  <c r="P107" i="6"/>
  <c r="P96" i="6"/>
  <c r="P112" i="6"/>
  <c r="P109" i="6"/>
  <c r="P38" i="6"/>
  <c r="P80" i="6"/>
  <c r="P71" i="6"/>
  <c r="P78" i="6"/>
  <c r="P14" i="6"/>
  <c r="P86" i="6"/>
  <c r="P37" i="6"/>
  <c r="P82" i="6"/>
  <c r="P49" i="6"/>
  <c r="P48" i="6"/>
  <c r="P28" i="6"/>
  <c r="P67" i="6"/>
  <c r="P39" i="6"/>
  <c r="P76" i="6"/>
  <c r="P50" i="6"/>
  <c r="P55" i="6"/>
  <c r="P23" i="6"/>
  <c r="P97" i="6"/>
  <c r="P52" i="6"/>
  <c r="P42" i="6"/>
  <c r="P31" i="6"/>
  <c r="P17" i="6"/>
  <c r="P88" i="6"/>
  <c r="P65" i="6"/>
  <c r="P13" i="6"/>
  <c r="P74" i="6"/>
  <c r="P59" i="6"/>
  <c r="P77" i="6"/>
  <c r="P25" i="6"/>
  <c r="P81" i="6"/>
  <c r="P66" i="6"/>
  <c r="O149" i="3"/>
  <c r="O104" i="3"/>
  <c r="O174" i="3"/>
  <c r="O191" i="3"/>
  <c r="O166" i="3"/>
  <c r="O188" i="3"/>
  <c r="O42" i="3"/>
  <c r="O58" i="3"/>
  <c r="O37" i="3"/>
  <c r="O103" i="3"/>
  <c r="O135" i="3"/>
  <c r="O180" i="3"/>
  <c r="O74" i="3"/>
  <c r="O187" i="3"/>
  <c r="O195" i="3"/>
  <c r="O136" i="3"/>
  <c r="O19" i="3"/>
  <c r="O175" i="3"/>
  <c r="O63" i="3"/>
  <c r="O70" i="3"/>
  <c r="O167" i="3"/>
  <c r="O183" i="3"/>
  <c r="O129" i="3"/>
  <c r="O16" i="3"/>
  <c r="O67" i="3"/>
  <c r="O72" i="3"/>
  <c r="O198" i="3"/>
  <c r="O91" i="3"/>
  <c r="O77" i="3"/>
  <c r="O22" i="3"/>
  <c r="O55" i="3"/>
  <c r="O54" i="3"/>
  <c r="O56" i="3"/>
  <c r="O115" i="3"/>
  <c r="O24" i="3"/>
  <c r="O50" i="3"/>
  <c r="O116" i="3"/>
  <c r="O46" i="3"/>
  <c r="O161" i="3"/>
  <c r="O160" i="3"/>
  <c r="O121" i="3"/>
  <c r="O181" i="3"/>
  <c r="O32" i="3"/>
  <c r="O154" i="3"/>
  <c r="O196" i="3"/>
  <c r="O86" i="3"/>
  <c r="O64" i="3"/>
  <c r="O39" i="3"/>
  <c r="O131" i="3"/>
  <c r="O71" i="3"/>
  <c r="O29" i="3"/>
  <c r="O126" i="3"/>
  <c r="O155" i="3"/>
  <c r="O18" i="3"/>
  <c r="O199" i="3"/>
  <c r="O96" i="3"/>
  <c r="O82" i="3"/>
  <c r="O94" i="3"/>
  <c r="O21" i="3"/>
  <c r="O164" i="3"/>
  <c r="O172" i="3"/>
  <c r="O133" i="3"/>
  <c r="O100" i="3"/>
  <c r="O98" i="3"/>
  <c r="O138" i="3"/>
  <c r="O152" i="3"/>
  <c r="O107" i="3"/>
  <c r="O147" i="3"/>
  <c r="O200" i="3"/>
  <c r="O178" i="3"/>
  <c r="O61" i="3"/>
  <c r="O33" i="3"/>
  <c r="O179" i="3"/>
  <c r="O148" i="3"/>
  <c r="O120" i="3"/>
  <c r="O159" i="3"/>
  <c r="O170" i="3"/>
  <c r="O87" i="3"/>
  <c r="O143" i="3"/>
  <c r="O38" i="3"/>
  <c r="O150" i="3"/>
  <c r="O130" i="3"/>
  <c r="O118" i="3"/>
  <c r="O197" i="3"/>
  <c r="O132" i="3"/>
  <c r="O85" i="3"/>
  <c r="O27" i="3"/>
  <c r="O194" i="3"/>
  <c r="O57" i="3"/>
  <c r="O125" i="3"/>
  <c r="O112" i="3"/>
  <c r="O45" i="3"/>
  <c r="O79" i="3"/>
  <c r="O43" i="3"/>
  <c r="O190" i="3"/>
  <c r="O119" i="3"/>
  <c r="O52" i="3"/>
  <c r="O186" i="3"/>
  <c r="O168" i="3"/>
  <c r="O44" i="3"/>
  <c r="O145" i="3"/>
  <c r="O60" i="3"/>
  <c r="O162" i="3"/>
  <c r="O105" i="3"/>
  <c r="O157" i="3"/>
  <c r="O99" i="3"/>
  <c r="O144" i="3"/>
  <c r="O65" i="3"/>
  <c r="O158" i="3"/>
  <c r="O20" i="3"/>
  <c r="O28" i="3"/>
  <c r="O53" i="3"/>
  <c r="O47" i="3"/>
  <c r="O165" i="3"/>
  <c r="O30" i="3"/>
  <c r="O185" i="3"/>
  <c r="O83" i="3"/>
  <c r="O111" i="3"/>
  <c r="O114" i="3"/>
  <c r="O81" i="3"/>
  <c r="O80" i="3"/>
  <c r="O40" i="3"/>
  <c r="O23" i="3"/>
  <c r="O49" i="3"/>
  <c r="O110" i="3"/>
  <c r="O69" i="3"/>
  <c r="O95" i="3"/>
  <c r="O26" i="3"/>
  <c r="O62" i="3"/>
  <c r="O35" i="3"/>
  <c r="O59" i="3"/>
  <c r="O127" i="3"/>
  <c r="O192" i="3"/>
  <c r="O156" i="3"/>
  <c r="O153" i="3"/>
  <c r="O184" i="3"/>
  <c r="O34" i="3"/>
  <c r="O93" i="3"/>
  <c r="O176" i="3"/>
  <c r="O48" i="3"/>
  <c r="O124" i="3"/>
  <c r="O109" i="3"/>
  <c r="O90" i="3"/>
  <c r="O97" i="3"/>
  <c r="O51" i="3"/>
  <c r="O173" i="3"/>
  <c r="O128" i="3"/>
  <c r="O122" i="3"/>
  <c r="O66" i="3"/>
  <c r="O108" i="3"/>
  <c r="O141" i="3"/>
  <c r="O88" i="3"/>
  <c r="O78" i="3"/>
  <c r="O76" i="3"/>
  <c r="O146" i="3"/>
  <c r="O84" i="3"/>
  <c r="O68" i="3"/>
  <c r="O36" i="3"/>
  <c r="O15" i="3"/>
  <c r="O75" i="3"/>
  <c r="O123" i="3"/>
  <c r="O89" i="3"/>
  <c r="O177" i="3"/>
  <c r="O137" i="3"/>
  <c r="O92" i="3"/>
  <c r="K113" i="3"/>
  <c r="J113" i="3"/>
  <c r="M107" i="3"/>
  <c r="M147" i="3"/>
  <c r="M200" i="3"/>
  <c r="M178" i="3"/>
  <c r="M61" i="3"/>
  <c r="M33" i="3"/>
  <c r="M179" i="3"/>
  <c r="M148" i="3"/>
  <c r="M120" i="3"/>
  <c r="M159" i="3"/>
  <c r="M170" i="3"/>
  <c r="M87" i="3"/>
  <c r="M143" i="3"/>
  <c r="M38" i="3"/>
  <c r="K171" i="3"/>
  <c r="J171" i="3"/>
  <c r="M150" i="3"/>
  <c r="M138" i="3"/>
  <c r="M152" i="3"/>
  <c r="M99" i="3"/>
  <c r="M65" i="3"/>
  <c r="M20" i="3"/>
  <c r="M53" i="3"/>
  <c r="M165" i="3"/>
  <c r="M83" i="3"/>
  <c r="M111" i="3"/>
  <c r="M114" i="3"/>
  <c r="M81" i="3"/>
  <c r="M80" i="3"/>
  <c r="M40" i="3"/>
  <c r="M23" i="3"/>
  <c r="M144" i="3"/>
  <c r="M158" i="3"/>
  <c r="M28" i="3"/>
  <c r="M47" i="3"/>
  <c r="M30" i="3"/>
  <c r="K57" i="6"/>
  <c r="J57" i="6"/>
  <c r="M45" i="3"/>
  <c r="M79" i="3"/>
  <c r="M43" i="3"/>
  <c r="M190" i="3"/>
  <c r="M119" i="3"/>
  <c r="M52" i="3"/>
  <c r="M186" i="3"/>
  <c r="M168" i="3"/>
  <c r="M44" i="3"/>
  <c r="M145" i="3"/>
  <c r="M60" i="3"/>
  <c r="M162" i="3"/>
  <c r="M132" i="3"/>
  <c r="M85" i="3"/>
  <c r="M27" i="3"/>
  <c r="M194" i="3"/>
  <c r="M57" i="3"/>
  <c r="M125" i="3"/>
  <c r="M112" i="3"/>
  <c r="M185" i="3"/>
  <c r="M183" i="3"/>
  <c r="M129" i="3"/>
  <c r="M16" i="3"/>
  <c r="M67" i="3"/>
  <c r="M72" i="3"/>
  <c r="M198" i="3"/>
  <c r="M91" i="3"/>
  <c r="M77" i="3"/>
  <c r="M22" i="3"/>
  <c r="M55" i="3"/>
  <c r="M54" i="3"/>
  <c r="M56" i="3"/>
  <c r="M115" i="3"/>
  <c r="M24" i="3"/>
  <c r="M50" i="3"/>
  <c r="M116" i="3"/>
  <c r="M46" i="3"/>
  <c r="M161" i="3"/>
  <c r="M69" i="3"/>
  <c r="M95" i="3"/>
  <c r="M26" i="3"/>
  <c r="M62" i="3"/>
  <c r="M35" i="3"/>
  <c r="M59" i="3"/>
  <c r="M127" i="3"/>
  <c r="M192" i="3"/>
  <c r="M156" i="3"/>
  <c r="M153" i="3"/>
  <c r="M184" i="3"/>
  <c r="M34" i="3"/>
  <c r="M93" i="3"/>
  <c r="M176" i="3"/>
  <c r="M48" i="3"/>
  <c r="M124" i="3"/>
  <c r="M109" i="3"/>
  <c r="M90" i="3"/>
  <c r="M130" i="3"/>
  <c r="M149" i="3"/>
  <c r="M104" i="3"/>
  <c r="M174" i="3"/>
  <c r="M191" i="3"/>
  <c r="M166" i="3"/>
  <c r="M188" i="3"/>
  <c r="M42" i="3"/>
  <c r="M58" i="3"/>
  <c r="M37" i="3"/>
  <c r="M103" i="3"/>
  <c r="M135" i="3"/>
  <c r="M180" i="3"/>
  <c r="M74" i="3"/>
  <c r="M187" i="3"/>
  <c r="M195" i="3"/>
  <c r="M32" i="3"/>
  <c r="M154" i="3"/>
  <c r="M196" i="3"/>
  <c r="M86" i="3"/>
  <c r="M64" i="3"/>
  <c r="M39" i="3"/>
  <c r="M131" i="3"/>
  <c r="M71" i="3"/>
  <c r="M29" i="3"/>
  <c r="M126" i="3"/>
  <c r="M155" i="3"/>
  <c r="M18" i="3"/>
  <c r="M199" i="3"/>
  <c r="M96" i="3"/>
  <c r="M82" i="3"/>
  <c r="M94" i="3"/>
  <c r="M21" i="3"/>
  <c r="M164" i="3"/>
  <c r="M172" i="3"/>
  <c r="M88" i="6"/>
  <c r="K55" i="6"/>
  <c r="M61" i="6"/>
  <c r="M14" i="6"/>
  <c r="M84" i="6"/>
  <c r="M49" i="6"/>
  <c r="M15" i="6"/>
  <c r="M68" i="6"/>
  <c r="M13" i="6"/>
  <c r="M34" i="6"/>
  <c r="M82" i="6"/>
  <c r="K38" i="6"/>
  <c r="K39" i="6"/>
  <c r="K78" i="6"/>
  <c r="K54" i="6"/>
  <c r="K19" i="6"/>
  <c r="K37" i="6"/>
  <c r="K49" i="6"/>
  <c r="K93" i="6"/>
  <c r="K32" i="6"/>
  <c r="K75" i="6"/>
  <c r="K97" i="6"/>
  <c r="K24" i="6"/>
  <c r="K60" i="6"/>
  <c r="K30" i="6"/>
  <c r="K43" i="6"/>
  <c r="K80" i="6"/>
  <c r="K76" i="6"/>
  <c r="K14" i="6"/>
  <c r="K16" i="6"/>
  <c r="K71" i="6"/>
  <c r="K44" i="6"/>
  <c r="K42" i="6"/>
  <c r="K28" i="6"/>
  <c r="K70" i="6"/>
  <c r="K87" i="6"/>
  <c r="K31" i="6"/>
  <c r="K12" i="6"/>
  <c r="K17" i="6"/>
  <c r="K40" i="6"/>
  <c r="K101" i="6"/>
  <c r="K20" i="6"/>
  <c r="K88" i="6"/>
  <c r="M111" i="6"/>
  <c r="K15" i="6"/>
  <c r="K95" i="6"/>
  <c r="K110" i="6"/>
  <c r="K65" i="6"/>
  <c r="K63" i="6"/>
  <c r="K13" i="6"/>
  <c r="K51" i="6"/>
  <c r="K26" i="6"/>
  <c r="K98" i="6"/>
  <c r="K74" i="6"/>
  <c r="K34" i="6"/>
  <c r="K59" i="6"/>
  <c r="K67" i="6"/>
  <c r="K107" i="6"/>
  <c r="K58" i="6"/>
  <c r="K77" i="6"/>
  <c r="K62" i="6"/>
  <c r="K25" i="6"/>
  <c r="K72" i="6"/>
  <c r="K112" i="6"/>
  <c r="K99" i="6"/>
  <c r="K81" i="6"/>
  <c r="K21" i="6"/>
  <c r="K66" i="6"/>
  <c r="K111" i="6"/>
  <c r="K102" i="6"/>
  <c r="K33" i="6"/>
  <c r="K56" i="6"/>
  <c r="M59" i="6"/>
  <c r="K36" i="6"/>
  <c r="K109" i="6"/>
  <c r="K86" i="6"/>
  <c r="K48" i="6"/>
  <c r="M71" i="6"/>
  <c r="K45" i="6"/>
  <c r="K68" i="6"/>
  <c r="K79" i="6"/>
  <c r="K106" i="6"/>
  <c r="K47" i="6"/>
  <c r="K61" i="6"/>
  <c r="K82" i="6"/>
  <c r="K100" i="6"/>
  <c r="K96" i="6"/>
  <c r="K84" i="6"/>
  <c r="K23" i="6"/>
  <c r="M106" i="6"/>
  <c r="K94" i="6"/>
  <c r="K27" i="6"/>
  <c r="K50" i="6"/>
  <c r="K52" i="6"/>
  <c r="M93" i="6"/>
  <c r="M110" i="6"/>
  <c r="M32" i="6"/>
  <c r="M75" i="6"/>
  <c r="M97" i="6"/>
  <c r="M60" i="6"/>
  <c r="M30" i="6"/>
  <c r="M16" i="6"/>
  <c r="M51" i="6"/>
  <c r="M74" i="6"/>
  <c r="M23" i="6"/>
  <c r="M50" i="6"/>
  <c r="M44" i="6"/>
  <c r="M42" i="6"/>
  <c r="M28" i="6"/>
  <c r="M70" i="6"/>
  <c r="M31" i="6"/>
  <c r="M58" i="6"/>
  <c r="M62" i="6"/>
  <c r="M96" i="6"/>
  <c r="M56" i="6"/>
  <c r="M112" i="6"/>
  <c r="M99" i="6"/>
  <c r="M21" i="6"/>
  <c r="M109" i="6"/>
  <c r="M65" i="6"/>
  <c r="M39" i="6"/>
  <c r="M78" i="6"/>
  <c r="M37" i="6"/>
  <c r="M12" i="6"/>
  <c r="M17" i="6"/>
  <c r="M40" i="6"/>
  <c r="M101" i="6"/>
  <c r="J27" i="6"/>
  <c r="M80" i="6"/>
  <c r="J32" i="6"/>
  <c r="J12" i="6"/>
  <c r="M36" i="6"/>
  <c r="M45" i="6"/>
  <c r="M77" i="6"/>
  <c r="J68" i="6"/>
  <c r="J75" i="6"/>
  <c r="J97" i="6"/>
  <c r="J24" i="6"/>
  <c r="M87" i="6"/>
  <c r="J40" i="6"/>
  <c r="J86" i="6"/>
  <c r="J98" i="6"/>
  <c r="M72" i="6"/>
  <c r="M81" i="6"/>
  <c r="J43" i="6"/>
  <c r="J76" i="6"/>
  <c r="J88" i="6"/>
  <c r="J49" i="6"/>
  <c r="J19" i="6"/>
  <c r="J16" i="6"/>
  <c r="M63" i="6"/>
  <c r="M27" i="6"/>
  <c r="J36" i="6"/>
  <c r="J45" i="6"/>
  <c r="J59" i="6"/>
  <c r="M94" i="6"/>
  <c r="J38" i="6"/>
  <c r="J54" i="6"/>
  <c r="J37" i="6"/>
  <c r="M38" i="6"/>
  <c r="J44" i="6"/>
  <c r="J28" i="6"/>
  <c r="J95" i="6"/>
  <c r="M24" i="6"/>
  <c r="M52" i="6"/>
  <c r="M20" i="6"/>
  <c r="M86" i="6"/>
  <c r="M98" i="6"/>
  <c r="J93" i="6"/>
  <c r="J50" i="6"/>
  <c r="J106" i="6"/>
  <c r="J101" i="6"/>
  <c r="M95" i="6"/>
  <c r="J65" i="6"/>
  <c r="J58" i="6"/>
  <c r="J77" i="6"/>
  <c r="J109" i="6"/>
  <c r="J78" i="6"/>
  <c r="J30" i="6"/>
  <c r="J42" i="6"/>
  <c r="M25" i="6"/>
  <c r="J48" i="6"/>
  <c r="J87" i="6"/>
  <c r="J66" i="6"/>
  <c r="J25" i="6"/>
  <c r="J94" i="6"/>
  <c r="J56" i="6"/>
  <c r="J102" i="6"/>
  <c r="J112" i="6"/>
  <c r="J39" i="6"/>
  <c r="J60" i="6"/>
  <c r="J71" i="6"/>
  <c r="J84" i="6"/>
  <c r="J79" i="6"/>
  <c r="J110" i="6"/>
  <c r="M26" i="6"/>
  <c r="J74" i="6"/>
  <c r="M67" i="6"/>
  <c r="J96" i="6"/>
  <c r="J21" i="6"/>
  <c r="J14" i="6"/>
  <c r="M48" i="6"/>
  <c r="J17" i="6"/>
  <c r="J63" i="6"/>
  <c r="J82" i="6"/>
  <c r="J51" i="6"/>
  <c r="J26" i="6"/>
  <c r="J23" i="6"/>
  <c r="J52" i="6"/>
  <c r="J47" i="6"/>
  <c r="J70" i="6"/>
  <c r="J20" i="6"/>
  <c r="J67" i="6"/>
  <c r="J107" i="6"/>
  <c r="J72" i="6"/>
  <c r="J99" i="6"/>
  <c r="J100" i="6"/>
  <c r="J61" i="6"/>
  <c r="J13" i="6"/>
  <c r="J111" i="6"/>
  <c r="J33" i="6"/>
  <c r="J80" i="6"/>
  <c r="J31" i="6"/>
  <c r="M107" i="6"/>
  <c r="J62" i="6"/>
  <c r="J81" i="6"/>
  <c r="M66" i="6"/>
  <c r="M55" i="6"/>
  <c r="J55" i="6"/>
  <c r="M76" i="6"/>
  <c r="J15" i="6"/>
  <c r="J34" i="6"/>
  <c r="M128" i="3"/>
  <c r="M122" i="3"/>
  <c r="M66" i="3"/>
  <c r="M108" i="3"/>
  <c r="M141" i="3"/>
  <c r="M88" i="3"/>
  <c r="M78" i="3"/>
  <c r="M76" i="3"/>
  <c r="M146" i="3"/>
  <c r="M84" i="3"/>
  <c r="M68" i="3"/>
  <c r="M36" i="3"/>
  <c r="M15" i="3"/>
  <c r="M75" i="3"/>
  <c r="M123" i="3"/>
  <c r="M89" i="3"/>
  <c r="M177" i="3"/>
  <c r="M173" i="3"/>
  <c r="M136" i="3"/>
  <c r="M19" i="3"/>
  <c r="K69" i="3"/>
  <c r="J132" i="3"/>
  <c r="M98" i="3"/>
  <c r="K35" i="3"/>
  <c r="K184" i="3"/>
  <c r="K178" i="3"/>
  <c r="K98" i="3"/>
  <c r="K197" i="3"/>
  <c r="K130" i="3"/>
  <c r="K143" i="3"/>
  <c r="K170" i="3"/>
  <c r="K120" i="3"/>
  <c r="K179" i="3"/>
  <c r="K200" i="3"/>
  <c r="K152" i="3"/>
  <c r="K51" i="3"/>
  <c r="K61" i="3"/>
  <c r="K138" i="3"/>
  <c r="K118" i="3"/>
  <c r="K150" i="3"/>
  <c r="K38" i="3"/>
  <c r="K87" i="3"/>
  <c r="K159" i="3"/>
  <c r="K148" i="3"/>
  <c r="K33" i="3"/>
  <c r="K147" i="3"/>
  <c r="K107" i="3"/>
  <c r="K127" i="3"/>
  <c r="K176" i="3"/>
  <c r="J112" i="3"/>
  <c r="J119" i="3"/>
  <c r="J145" i="3"/>
  <c r="K128" i="3"/>
  <c r="K141" i="3"/>
  <c r="K146" i="3"/>
  <c r="K15" i="3"/>
  <c r="K177" i="3"/>
  <c r="J144" i="3"/>
  <c r="J20" i="3"/>
  <c r="J47" i="3"/>
  <c r="J185" i="3"/>
  <c r="J81" i="3"/>
  <c r="J49" i="3"/>
  <c r="K149" i="3"/>
  <c r="K104" i="3"/>
  <c r="K174" i="3"/>
  <c r="K191" i="3"/>
  <c r="K166" i="3"/>
  <c r="K188" i="3"/>
  <c r="K42" i="3"/>
  <c r="K58" i="3"/>
  <c r="K37" i="3"/>
  <c r="K103" i="3"/>
  <c r="K135" i="3"/>
  <c r="K180" i="3"/>
  <c r="K74" i="3"/>
  <c r="K187" i="3"/>
  <c r="K195" i="3"/>
  <c r="K136" i="3"/>
  <c r="K19" i="3"/>
  <c r="K175" i="3"/>
  <c r="K63" i="3"/>
  <c r="K70" i="3"/>
  <c r="K167" i="3"/>
  <c r="J69" i="3"/>
  <c r="J95" i="3"/>
  <c r="J26" i="3"/>
  <c r="J62" i="3"/>
  <c r="J35" i="3"/>
  <c r="J59" i="3"/>
  <c r="J127" i="3"/>
  <c r="J192" i="3"/>
  <c r="J156" i="3"/>
  <c r="J153" i="3"/>
  <c r="J184" i="3"/>
  <c r="J34" i="3"/>
  <c r="J93" i="3"/>
  <c r="J176" i="3"/>
  <c r="J48" i="3"/>
  <c r="J124" i="3"/>
  <c r="J109" i="3"/>
  <c r="J90" i="3"/>
  <c r="J97" i="3"/>
  <c r="J51" i="3"/>
  <c r="K95" i="3"/>
  <c r="K153" i="3"/>
  <c r="K109" i="3"/>
  <c r="J45" i="3"/>
  <c r="J52" i="3"/>
  <c r="J60" i="3"/>
  <c r="K108" i="3"/>
  <c r="K76" i="3"/>
  <c r="K36" i="3"/>
  <c r="K89" i="3"/>
  <c r="J99" i="3"/>
  <c r="J28" i="3"/>
  <c r="J30" i="3"/>
  <c r="J111" i="3"/>
  <c r="J40" i="3"/>
  <c r="K183" i="3"/>
  <c r="K129" i="3"/>
  <c r="K16" i="3"/>
  <c r="K67" i="3"/>
  <c r="K72" i="3"/>
  <c r="K198" i="3"/>
  <c r="K91" i="3"/>
  <c r="K77" i="3"/>
  <c r="K22" i="3"/>
  <c r="K55" i="3"/>
  <c r="K54" i="3"/>
  <c r="K56" i="3"/>
  <c r="K115" i="3"/>
  <c r="K24" i="3"/>
  <c r="K50" i="3"/>
  <c r="K116" i="3"/>
  <c r="K46" i="3"/>
  <c r="K161" i="3"/>
  <c r="K160" i="3"/>
  <c r="K121" i="3"/>
  <c r="K181" i="3"/>
  <c r="J173" i="3"/>
  <c r="J128" i="3"/>
  <c r="J122" i="3"/>
  <c r="J66" i="3"/>
  <c r="J108" i="3"/>
  <c r="J141" i="3"/>
  <c r="J88" i="3"/>
  <c r="J78" i="3"/>
  <c r="J76" i="3"/>
  <c r="J146" i="3"/>
  <c r="J84" i="3"/>
  <c r="J68" i="3"/>
  <c r="J36" i="3"/>
  <c r="J15" i="3"/>
  <c r="J75" i="3"/>
  <c r="J123" i="3"/>
  <c r="J89" i="3"/>
  <c r="J177" i="3"/>
  <c r="J137" i="3"/>
  <c r="J92" i="3"/>
  <c r="K192" i="3"/>
  <c r="K48" i="3"/>
  <c r="J27" i="3"/>
  <c r="J43" i="3"/>
  <c r="J186" i="3"/>
  <c r="J162" i="3"/>
  <c r="K173" i="3"/>
  <c r="K66" i="3"/>
  <c r="K78" i="3"/>
  <c r="K68" i="3"/>
  <c r="K123" i="3"/>
  <c r="K137" i="3"/>
  <c r="J65" i="3"/>
  <c r="J53" i="3"/>
  <c r="J114" i="3"/>
  <c r="J23" i="3"/>
  <c r="K32" i="3"/>
  <c r="K154" i="3"/>
  <c r="K196" i="3"/>
  <c r="K86" i="3"/>
  <c r="K64" i="3"/>
  <c r="K39" i="3"/>
  <c r="K131" i="3"/>
  <c r="K71" i="3"/>
  <c r="K29" i="3"/>
  <c r="K126" i="3"/>
  <c r="K155" i="3"/>
  <c r="K18" i="3"/>
  <c r="K199" i="3"/>
  <c r="K96" i="3"/>
  <c r="K82" i="3"/>
  <c r="K94" i="3"/>
  <c r="K21" i="3"/>
  <c r="K164" i="3"/>
  <c r="K172" i="3"/>
  <c r="K133" i="3"/>
  <c r="K100" i="3"/>
  <c r="K156" i="3"/>
  <c r="K124" i="3"/>
  <c r="J85" i="3"/>
  <c r="J79" i="3"/>
  <c r="J168" i="3"/>
  <c r="J105" i="3"/>
  <c r="K122" i="3"/>
  <c r="K88" i="3"/>
  <c r="K84" i="3"/>
  <c r="K75" i="3"/>
  <c r="K92" i="3"/>
  <c r="J158" i="3"/>
  <c r="J165" i="3"/>
  <c r="J83" i="3"/>
  <c r="J80" i="3"/>
  <c r="J110" i="3"/>
  <c r="J183" i="3"/>
  <c r="J129" i="3"/>
  <c r="J16" i="3"/>
  <c r="J67" i="3"/>
  <c r="J72" i="3"/>
  <c r="J198" i="3"/>
  <c r="J91" i="3"/>
  <c r="J77" i="3"/>
  <c r="J22" i="3"/>
  <c r="J55" i="3"/>
  <c r="J54" i="3"/>
  <c r="J56" i="3"/>
  <c r="J115" i="3"/>
  <c r="J24" i="3"/>
  <c r="J50" i="3"/>
  <c r="J116" i="3"/>
  <c r="J46" i="3"/>
  <c r="J161" i="3"/>
  <c r="J160" i="3"/>
  <c r="J121" i="3"/>
  <c r="J181" i="3"/>
  <c r="K62" i="3"/>
  <c r="J194" i="3"/>
  <c r="K132" i="3"/>
  <c r="K85" i="3"/>
  <c r="K27" i="3"/>
  <c r="K194" i="3"/>
  <c r="K57" i="3"/>
  <c r="K125" i="3"/>
  <c r="K112" i="3"/>
  <c r="K45" i="3"/>
  <c r="K79" i="3"/>
  <c r="K43" i="3"/>
  <c r="K190" i="3"/>
  <c r="K119" i="3"/>
  <c r="K52" i="3"/>
  <c r="K186" i="3"/>
  <c r="K168" i="3"/>
  <c r="K44" i="3"/>
  <c r="K145" i="3"/>
  <c r="K60" i="3"/>
  <c r="K162" i="3"/>
  <c r="K105" i="3"/>
  <c r="K157" i="3"/>
  <c r="J32" i="3"/>
  <c r="J154" i="3"/>
  <c r="J196" i="3"/>
  <c r="J86" i="3"/>
  <c r="J64" i="3"/>
  <c r="J39" i="3"/>
  <c r="J131" i="3"/>
  <c r="J71" i="3"/>
  <c r="J29" i="3"/>
  <c r="J126" i="3"/>
  <c r="J155" i="3"/>
  <c r="J18" i="3"/>
  <c r="J199" i="3"/>
  <c r="J96" i="3"/>
  <c r="J82" i="3"/>
  <c r="J94" i="3"/>
  <c r="J21" i="3"/>
  <c r="J164" i="3"/>
  <c r="J172" i="3"/>
  <c r="J133" i="3"/>
  <c r="J100" i="3"/>
  <c r="K59" i="3"/>
  <c r="K34" i="3"/>
  <c r="K97" i="3"/>
  <c r="J125" i="3"/>
  <c r="K99" i="3"/>
  <c r="K144" i="3"/>
  <c r="K65" i="3"/>
  <c r="K158" i="3"/>
  <c r="K20" i="3"/>
  <c r="K28" i="3"/>
  <c r="K53" i="3"/>
  <c r="K47" i="3"/>
  <c r="K165" i="3"/>
  <c r="K30" i="3"/>
  <c r="K185" i="3"/>
  <c r="K83" i="3"/>
  <c r="K111" i="3"/>
  <c r="K114" i="3"/>
  <c r="K81" i="3"/>
  <c r="K80" i="3"/>
  <c r="K40" i="3"/>
  <c r="K23" i="3"/>
  <c r="K49" i="3"/>
  <c r="K110" i="3"/>
  <c r="J98" i="3"/>
  <c r="J138" i="3"/>
  <c r="J152" i="3"/>
  <c r="J107" i="3"/>
  <c r="J147" i="3"/>
  <c r="J200" i="3"/>
  <c r="J178" i="3"/>
  <c r="J61" i="3"/>
  <c r="J33" i="3"/>
  <c r="J179" i="3"/>
  <c r="J148" i="3"/>
  <c r="J120" i="3"/>
  <c r="J159" i="3"/>
  <c r="J170" i="3"/>
  <c r="J87" i="3"/>
  <c r="J143" i="3"/>
  <c r="J38" i="3"/>
  <c r="J150" i="3"/>
  <c r="J130" i="3"/>
  <c r="J118" i="3"/>
  <c r="J197" i="3"/>
  <c r="K26" i="3"/>
  <c r="K93" i="3"/>
  <c r="K90" i="3"/>
  <c r="J57" i="3"/>
  <c r="J190" i="3"/>
  <c r="J44" i="3"/>
  <c r="J175" i="3"/>
  <c r="J180" i="3"/>
  <c r="J58" i="3"/>
  <c r="J191" i="3"/>
  <c r="J104" i="3"/>
  <c r="J157" i="3"/>
  <c r="J70" i="3"/>
  <c r="J136" i="3"/>
  <c r="J74" i="3"/>
  <c r="J37" i="3"/>
  <c r="J188" i="3"/>
  <c r="J63" i="3"/>
  <c r="J195" i="3"/>
  <c r="J103" i="3"/>
  <c r="J166" i="3"/>
  <c r="J149" i="3"/>
  <c r="J167" i="3"/>
  <c r="J19" i="3"/>
  <c r="J187" i="3"/>
  <c r="J135" i="3"/>
  <c r="J42" i="3"/>
  <c r="J174" i="3"/>
  <c r="A115" i="6" l="1"/>
  <c r="A116" i="6"/>
  <c r="A114" i="6"/>
  <c r="A111" i="6"/>
  <c r="A113" i="6"/>
  <c r="A112" i="6"/>
  <c r="A109" i="6"/>
  <c r="A110" i="6"/>
  <c r="A108" i="6"/>
  <c r="A106" i="6"/>
  <c r="A107" i="6"/>
  <c r="A105" i="6"/>
  <c r="A37" i="6"/>
  <c r="A33" i="6"/>
  <c r="A38" i="6"/>
  <c r="A40" i="6"/>
  <c r="A39" i="6"/>
  <c r="A62" i="6"/>
  <c r="A65" i="6"/>
  <c r="A36" i="6"/>
  <c r="A35" i="6"/>
  <c r="A63" i="6"/>
  <c r="A61" i="6"/>
  <c r="A41" i="6"/>
  <c r="A67" i="6"/>
  <c r="A42" i="6"/>
  <c r="A34" i="6"/>
  <c r="A43" i="6"/>
  <c r="A64" i="6"/>
  <c r="A66" i="6"/>
  <c r="A100" i="6"/>
  <c r="A52" i="6"/>
  <c r="A83" i="6"/>
  <c r="A95" i="6"/>
  <c r="A91" i="6"/>
  <c r="A97" i="6"/>
  <c r="A80" i="6"/>
  <c r="A81" i="6"/>
  <c r="A27" i="6"/>
  <c r="A46" i="6"/>
  <c r="A17" i="6"/>
  <c r="A19" i="6"/>
  <c r="A26" i="6"/>
  <c r="A30" i="6"/>
  <c r="A29" i="6"/>
  <c r="A87" i="6"/>
  <c r="A51" i="6"/>
  <c r="A18" i="6"/>
  <c r="A32" i="6"/>
  <c r="A77" i="6"/>
  <c r="A23" i="6"/>
  <c r="A12" i="6"/>
  <c r="A14" i="6"/>
  <c r="A13" i="6"/>
  <c r="A96" i="6"/>
  <c r="A21" i="6"/>
  <c r="A24" i="6"/>
  <c r="A22" i="6"/>
  <c r="A25" i="6"/>
  <c r="A15" i="6"/>
  <c r="A31" i="6"/>
  <c r="A99" i="6"/>
  <c r="A20" i="6"/>
  <c r="A72" i="6"/>
  <c r="A16" i="6"/>
  <c r="A28" i="6"/>
  <c r="A60" i="6"/>
  <c r="A73" i="6"/>
  <c r="A57" i="6"/>
  <c r="A89" i="6"/>
  <c r="A93" i="6"/>
  <c r="A56" i="6"/>
  <c r="A44" i="6"/>
  <c r="A102" i="6"/>
  <c r="A79" i="6"/>
  <c r="A84" i="6"/>
  <c r="A49" i="6"/>
  <c r="A70" i="6"/>
  <c r="A59" i="6"/>
  <c r="A103" i="6"/>
  <c r="A104" i="6"/>
  <c r="A54" i="6"/>
  <c r="A68" i="6"/>
  <c r="A58" i="6"/>
  <c r="A69" i="6"/>
  <c r="A71" i="6"/>
  <c r="A50" i="6"/>
  <c r="A85" i="6"/>
  <c r="A74" i="6"/>
  <c r="A47" i="6"/>
  <c r="A75" i="6"/>
  <c r="A90" i="6"/>
  <c r="A94" i="6"/>
  <c r="A48" i="6"/>
  <c r="A101" i="6"/>
  <c r="A82" i="6"/>
  <c r="A92" i="6"/>
  <c r="A45" i="6"/>
  <c r="A55" i="6"/>
  <c r="A78" i="6"/>
  <c r="A88" i="6"/>
  <c r="A53" i="6"/>
  <c r="A86" i="6"/>
  <c r="A76" i="6"/>
  <c r="A98" i="6"/>
  <c r="J65" i="1"/>
  <c r="J67" i="1"/>
  <c r="J73" i="1"/>
  <c r="L73" i="1" s="1"/>
  <c r="J69" i="1"/>
  <c r="J72" i="1"/>
  <c r="L72" i="1" s="1"/>
  <c r="J78" i="1"/>
  <c r="L78" i="1" s="1"/>
  <c r="J66" i="1"/>
  <c r="J87" i="1"/>
  <c r="J95" i="1"/>
  <c r="J81" i="1"/>
  <c r="J71" i="1"/>
  <c r="L71" i="1" s="1"/>
  <c r="J75" i="1"/>
  <c r="J74" i="1"/>
  <c r="J68" i="1"/>
  <c r="J84" i="1"/>
  <c r="J79" i="1"/>
  <c r="L79" i="1" s="1"/>
  <c r="O65" i="1"/>
  <c r="O67" i="1"/>
  <c r="O73" i="1"/>
  <c r="O69" i="1"/>
  <c r="O72" i="1"/>
  <c r="O78" i="1"/>
  <c r="O66" i="1"/>
  <c r="O87" i="1"/>
  <c r="O95" i="1"/>
  <c r="O81" i="1"/>
  <c r="O71" i="1"/>
  <c r="O75" i="1"/>
  <c r="O74" i="1"/>
  <c r="O68" i="1"/>
  <c r="O84" i="1"/>
  <c r="O79" i="1"/>
  <c r="P65" i="1"/>
  <c r="P67" i="1"/>
  <c r="P73" i="1"/>
  <c r="P69" i="1"/>
  <c r="P72" i="1"/>
  <c r="P78" i="1"/>
  <c r="P66" i="1"/>
  <c r="P87" i="1"/>
  <c r="P95" i="1"/>
  <c r="P81" i="1"/>
  <c r="P71" i="1"/>
  <c r="P75" i="1"/>
  <c r="P74" i="1"/>
  <c r="P68" i="1"/>
  <c r="P84" i="1"/>
  <c r="P79" i="1"/>
  <c r="Q65" i="1"/>
  <c r="Q67" i="1"/>
  <c r="Q73" i="1"/>
  <c r="Q69" i="1"/>
  <c r="Q72" i="1"/>
  <c r="Q78" i="1"/>
  <c r="Q66" i="1"/>
  <c r="Q87" i="1"/>
  <c r="Q95" i="1"/>
  <c r="Q81" i="1"/>
  <c r="Q71" i="1"/>
  <c r="Q75" i="1"/>
  <c r="Q74" i="1"/>
  <c r="Q68" i="1"/>
  <c r="Q84" i="1"/>
  <c r="Q79" i="1"/>
  <c r="R65" i="1"/>
  <c r="R67" i="1"/>
  <c r="R73" i="1"/>
  <c r="R69" i="1"/>
  <c r="R72" i="1"/>
  <c r="R78" i="1"/>
  <c r="R66" i="1"/>
  <c r="R87" i="1"/>
  <c r="R95" i="1"/>
  <c r="R81" i="1"/>
  <c r="R71" i="1"/>
  <c r="R75" i="1"/>
  <c r="R74" i="1"/>
  <c r="R68" i="1"/>
  <c r="R84" i="1"/>
  <c r="R79" i="1"/>
  <c r="R463" i="1"/>
  <c r="Q463" i="1"/>
  <c r="P463" i="1"/>
  <c r="O463" i="1"/>
  <c r="N463" i="1"/>
  <c r="L463" i="1"/>
  <c r="J463" i="1"/>
  <c r="D463" i="1"/>
  <c r="R462" i="1"/>
  <c r="Q462" i="1"/>
  <c r="P462" i="1"/>
  <c r="O462" i="1"/>
  <c r="N462" i="1"/>
  <c r="L462" i="1"/>
  <c r="J462" i="1"/>
  <c r="D462" i="1"/>
  <c r="R461" i="1"/>
  <c r="Q461" i="1"/>
  <c r="P461" i="1"/>
  <c r="O461" i="1"/>
  <c r="N461" i="1"/>
  <c r="L461" i="1"/>
  <c r="J461" i="1"/>
  <c r="D461" i="1"/>
  <c r="R460" i="1"/>
  <c r="Q460" i="1"/>
  <c r="P460" i="1"/>
  <c r="O460" i="1"/>
  <c r="N460" i="1"/>
  <c r="J460" i="1"/>
  <c r="D460" i="1"/>
  <c r="R459" i="1"/>
  <c r="Q459" i="1"/>
  <c r="P459" i="1"/>
  <c r="O459" i="1"/>
  <c r="N459" i="1"/>
  <c r="L459" i="1"/>
  <c r="J459" i="1"/>
  <c r="D459" i="1"/>
  <c r="R458" i="1"/>
  <c r="Q458" i="1"/>
  <c r="P458" i="1"/>
  <c r="O458" i="1"/>
  <c r="L458" i="1"/>
  <c r="J458" i="1"/>
  <c r="D458" i="1"/>
  <c r="R457" i="1"/>
  <c r="Q457" i="1"/>
  <c r="P457" i="1"/>
  <c r="O457" i="1"/>
  <c r="N457" i="1"/>
  <c r="L457" i="1"/>
  <c r="I116" i="6" s="1"/>
  <c r="J457" i="1"/>
  <c r="G116" i="6" s="1"/>
  <c r="D457" i="1"/>
  <c r="R456" i="1"/>
  <c r="Q456" i="1"/>
  <c r="P456" i="1"/>
  <c r="O456" i="1"/>
  <c r="N456" i="1"/>
  <c r="L456" i="1"/>
  <c r="I69" i="6" s="1"/>
  <c r="J456" i="1"/>
  <c r="G69" i="6" s="1"/>
  <c r="D456" i="1"/>
  <c r="R455" i="1"/>
  <c r="Q455" i="1"/>
  <c r="P455" i="1"/>
  <c r="O455" i="1"/>
  <c r="N455" i="1"/>
  <c r="L455" i="1"/>
  <c r="J455" i="1"/>
  <c r="D455" i="1"/>
  <c r="R454" i="1"/>
  <c r="Q454" i="1"/>
  <c r="P454" i="1"/>
  <c r="O454" i="1"/>
  <c r="N454" i="1"/>
  <c r="L454" i="1"/>
  <c r="J454" i="1"/>
  <c r="D454" i="1"/>
  <c r="R453" i="1"/>
  <c r="Q453" i="1"/>
  <c r="P453" i="1"/>
  <c r="O453" i="1"/>
  <c r="N453" i="1"/>
  <c r="L453" i="1"/>
  <c r="J453" i="1"/>
  <c r="D453" i="1"/>
  <c r="R452" i="1"/>
  <c r="Q452" i="1"/>
  <c r="P452" i="1"/>
  <c r="O452" i="1"/>
  <c r="N452" i="1"/>
  <c r="L452" i="1"/>
  <c r="J452" i="1"/>
  <c r="D452" i="1"/>
  <c r="R451" i="1"/>
  <c r="Q451" i="1"/>
  <c r="P451" i="1"/>
  <c r="O451" i="1"/>
  <c r="N451" i="1"/>
  <c r="L451" i="1"/>
  <c r="J451" i="1"/>
  <c r="D451" i="1"/>
  <c r="R450" i="1"/>
  <c r="Q450" i="1"/>
  <c r="P450" i="1"/>
  <c r="O450" i="1"/>
  <c r="N450" i="1"/>
  <c r="L450" i="1"/>
  <c r="J450" i="1"/>
  <c r="D450" i="1"/>
  <c r="R449" i="1"/>
  <c r="Q449" i="1"/>
  <c r="P449" i="1"/>
  <c r="O449" i="1"/>
  <c r="N449" i="1"/>
  <c r="L449" i="1"/>
  <c r="J449" i="1"/>
  <c r="D449" i="1"/>
  <c r="R448" i="1"/>
  <c r="Q448" i="1"/>
  <c r="P448" i="1"/>
  <c r="O448" i="1"/>
  <c r="N448" i="1"/>
  <c r="L448" i="1"/>
  <c r="J448" i="1"/>
  <c r="D448" i="1"/>
  <c r="R447" i="1"/>
  <c r="Q447" i="1"/>
  <c r="P447" i="1"/>
  <c r="O447" i="1"/>
  <c r="N447" i="1"/>
  <c r="L447" i="1"/>
  <c r="J447" i="1"/>
  <c r="D447" i="1"/>
  <c r="R446" i="1"/>
  <c r="Q446" i="1"/>
  <c r="P446" i="1"/>
  <c r="O446" i="1"/>
  <c r="N446" i="1"/>
  <c r="J446" i="1"/>
  <c r="D446" i="1"/>
  <c r="R445" i="1"/>
  <c r="Q445" i="1"/>
  <c r="P445" i="1"/>
  <c r="O445" i="1"/>
  <c r="N445" i="1"/>
  <c r="L445" i="1"/>
  <c r="J445" i="1"/>
  <c r="D445" i="1"/>
  <c r="R444" i="1"/>
  <c r="Q444" i="1"/>
  <c r="P444" i="1"/>
  <c r="O444" i="1"/>
  <c r="N444" i="1"/>
  <c r="L444" i="1"/>
  <c r="J444" i="1"/>
  <c r="D444" i="1"/>
  <c r="R443" i="1"/>
  <c r="Q443" i="1"/>
  <c r="P443" i="1"/>
  <c r="O443" i="1"/>
  <c r="N443" i="1"/>
  <c r="L443" i="1"/>
  <c r="J443" i="1"/>
  <c r="D443" i="1"/>
  <c r="R442" i="1"/>
  <c r="Q442" i="1"/>
  <c r="P442" i="1"/>
  <c r="O442" i="1"/>
  <c r="N442" i="1"/>
  <c r="L442" i="1"/>
  <c r="J442" i="1"/>
  <c r="D442" i="1"/>
  <c r="R441" i="1"/>
  <c r="Q441" i="1"/>
  <c r="P441" i="1"/>
  <c r="O441" i="1"/>
  <c r="N441" i="1"/>
  <c r="L441" i="1"/>
  <c r="J441" i="1"/>
  <c r="D441" i="1"/>
  <c r="R440" i="1"/>
  <c r="Q440" i="1"/>
  <c r="P440" i="1"/>
  <c r="O440" i="1"/>
  <c r="N440" i="1"/>
  <c r="L440" i="1"/>
  <c r="J440" i="1"/>
  <c r="D440" i="1"/>
  <c r="R437" i="1"/>
  <c r="Q437" i="1"/>
  <c r="P437" i="1"/>
  <c r="O437" i="1"/>
  <c r="N437" i="1"/>
  <c r="L437" i="1"/>
  <c r="J437" i="1"/>
  <c r="D437" i="1"/>
  <c r="R439" i="1"/>
  <c r="Q439" i="1"/>
  <c r="P439" i="1"/>
  <c r="O439" i="1"/>
  <c r="N439" i="1"/>
  <c r="L439" i="1"/>
  <c r="J439" i="1"/>
  <c r="D439" i="1"/>
  <c r="R438" i="1"/>
  <c r="Q438" i="1"/>
  <c r="P438" i="1"/>
  <c r="O438" i="1"/>
  <c r="N438" i="1"/>
  <c r="L438" i="1"/>
  <c r="J438" i="1"/>
  <c r="D438" i="1"/>
  <c r="R436" i="1"/>
  <c r="Q436" i="1"/>
  <c r="P436" i="1"/>
  <c r="O436" i="1"/>
  <c r="N436" i="1"/>
  <c r="L436" i="1"/>
  <c r="J436" i="1"/>
  <c r="D436" i="1"/>
  <c r="R435" i="1"/>
  <c r="Q435" i="1"/>
  <c r="P435" i="1"/>
  <c r="O435" i="1"/>
  <c r="N435" i="1"/>
  <c r="L435" i="1"/>
  <c r="J435" i="1"/>
  <c r="D435" i="1"/>
  <c r="R434" i="1"/>
  <c r="Q434" i="1"/>
  <c r="P434" i="1"/>
  <c r="O434" i="1"/>
  <c r="N434" i="1"/>
  <c r="L434" i="1"/>
  <c r="J434" i="1"/>
  <c r="D434" i="1"/>
  <c r="R433" i="1"/>
  <c r="Q433" i="1"/>
  <c r="P433" i="1"/>
  <c r="O433" i="1"/>
  <c r="N433" i="1"/>
  <c r="L433" i="1"/>
  <c r="J433" i="1"/>
  <c r="D433" i="1"/>
  <c r="R432" i="1"/>
  <c r="Q432" i="1"/>
  <c r="P432" i="1"/>
  <c r="O432" i="1"/>
  <c r="N432" i="1"/>
  <c r="L432" i="1"/>
  <c r="J432" i="1"/>
  <c r="D432" i="1"/>
  <c r="R431" i="1"/>
  <c r="Q431" i="1"/>
  <c r="P431" i="1"/>
  <c r="O431" i="1"/>
  <c r="N431" i="1"/>
  <c r="L431" i="1"/>
  <c r="J431" i="1"/>
  <c r="D431" i="1"/>
  <c r="R430" i="1"/>
  <c r="Q430" i="1"/>
  <c r="P430" i="1"/>
  <c r="O430" i="1"/>
  <c r="N430" i="1"/>
  <c r="L430" i="1"/>
  <c r="J430" i="1"/>
  <c r="D430" i="1"/>
  <c r="R429" i="1"/>
  <c r="Q429" i="1"/>
  <c r="P429" i="1"/>
  <c r="O429" i="1"/>
  <c r="N429" i="1"/>
  <c r="L429" i="1"/>
  <c r="J429" i="1"/>
  <c r="D429" i="1"/>
  <c r="R428" i="1"/>
  <c r="Q428" i="1"/>
  <c r="P428" i="1"/>
  <c r="O428" i="1"/>
  <c r="N428" i="1"/>
  <c r="L428" i="1"/>
  <c r="I35" i="6" s="1"/>
  <c r="J428" i="1"/>
  <c r="G35" i="6" s="1"/>
  <c r="D428" i="1"/>
  <c r="R427" i="1"/>
  <c r="Q427" i="1"/>
  <c r="P427" i="1"/>
  <c r="O427" i="1"/>
  <c r="N427" i="1"/>
  <c r="L427" i="1"/>
  <c r="J427" i="1"/>
  <c r="D427" i="1"/>
  <c r="R426" i="1"/>
  <c r="Q426" i="1"/>
  <c r="P426" i="1"/>
  <c r="O426" i="1"/>
  <c r="N426" i="1"/>
  <c r="L426" i="1"/>
  <c r="J426" i="1"/>
  <c r="D426" i="1"/>
  <c r="R425" i="1"/>
  <c r="Q425" i="1"/>
  <c r="P425" i="1"/>
  <c r="O425" i="1"/>
  <c r="N425" i="1"/>
  <c r="L425" i="1"/>
  <c r="J425" i="1"/>
  <c r="D425" i="1"/>
  <c r="R424" i="1"/>
  <c r="Q424" i="1"/>
  <c r="P424" i="1"/>
  <c r="O424" i="1"/>
  <c r="N424" i="1"/>
  <c r="L424" i="1"/>
  <c r="J424" i="1"/>
  <c r="G53" i="6" s="1"/>
  <c r="D424" i="1"/>
  <c r="R423" i="1"/>
  <c r="Q423" i="1"/>
  <c r="P423" i="1"/>
  <c r="O423" i="1"/>
  <c r="L423" i="1"/>
  <c r="J423" i="1"/>
  <c r="D423" i="1"/>
  <c r="R422" i="1"/>
  <c r="Q422" i="1"/>
  <c r="P422" i="1"/>
  <c r="O422" i="1"/>
  <c r="N422" i="1"/>
  <c r="L422" i="1"/>
  <c r="J422" i="1"/>
  <c r="D422" i="1"/>
  <c r="R421" i="1"/>
  <c r="Q421" i="1"/>
  <c r="P421" i="1"/>
  <c r="O421" i="1"/>
  <c r="N421" i="1"/>
  <c r="L421" i="1"/>
  <c r="J421" i="1"/>
  <c r="D421" i="1"/>
  <c r="R420" i="1"/>
  <c r="Q420" i="1"/>
  <c r="P420" i="1"/>
  <c r="O420" i="1"/>
  <c r="N420" i="1"/>
  <c r="L420" i="1"/>
  <c r="J420" i="1"/>
  <c r="D420" i="1"/>
  <c r="R419" i="1"/>
  <c r="Q419" i="1"/>
  <c r="P419" i="1"/>
  <c r="O419" i="1"/>
  <c r="N419" i="1"/>
  <c r="L419" i="1"/>
  <c r="J419" i="1"/>
  <c r="D419" i="1"/>
  <c r="R418" i="1"/>
  <c r="Q418" i="1"/>
  <c r="P418" i="1"/>
  <c r="O418" i="1"/>
  <c r="N418" i="1"/>
  <c r="L418" i="1"/>
  <c r="J418" i="1"/>
  <c r="D418" i="1"/>
  <c r="R417" i="1"/>
  <c r="Q417" i="1"/>
  <c r="P417" i="1"/>
  <c r="O417" i="1"/>
  <c r="N417" i="1"/>
  <c r="L417" i="1"/>
  <c r="J417" i="1"/>
  <c r="D417" i="1"/>
  <c r="R416" i="1"/>
  <c r="Q416" i="1"/>
  <c r="P416" i="1"/>
  <c r="O416" i="1"/>
  <c r="N416" i="1"/>
  <c r="L416" i="1"/>
  <c r="J416" i="1"/>
  <c r="D416" i="1"/>
  <c r="R415" i="1"/>
  <c r="Q415" i="1"/>
  <c r="P415" i="1"/>
  <c r="O415" i="1"/>
  <c r="N415" i="1"/>
  <c r="L415" i="1"/>
  <c r="J415" i="1"/>
  <c r="D415" i="1"/>
  <c r="R414" i="1"/>
  <c r="Q414" i="1"/>
  <c r="P414" i="1"/>
  <c r="O414" i="1"/>
  <c r="N414" i="1"/>
  <c r="L414" i="1"/>
  <c r="J414" i="1"/>
  <c r="D414" i="1"/>
  <c r="R413" i="1"/>
  <c r="Q413" i="1"/>
  <c r="P413" i="1"/>
  <c r="O413" i="1"/>
  <c r="N413" i="1"/>
  <c r="L413" i="1"/>
  <c r="J413" i="1"/>
  <c r="D413" i="1"/>
  <c r="R412" i="1"/>
  <c r="Q412" i="1"/>
  <c r="P412" i="1"/>
  <c r="O412" i="1"/>
  <c r="N412" i="1"/>
  <c r="L412" i="1"/>
  <c r="J412" i="1"/>
  <c r="D412" i="1"/>
  <c r="R410" i="1"/>
  <c r="Q410" i="1"/>
  <c r="P410" i="1"/>
  <c r="O410" i="1"/>
  <c r="N410" i="1"/>
  <c r="L410" i="1"/>
  <c r="J410" i="1"/>
  <c r="D410" i="1"/>
  <c r="R411" i="1"/>
  <c r="Q411" i="1"/>
  <c r="P411" i="1"/>
  <c r="O411" i="1"/>
  <c r="N411" i="1"/>
  <c r="L411" i="1"/>
  <c r="J411" i="1"/>
  <c r="D411" i="1"/>
  <c r="R409" i="1"/>
  <c r="Q409" i="1"/>
  <c r="P409" i="1"/>
  <c r="O409" i="1"/>
  <c r="N409" i="1"/>
  <c r="L409" i="1"/>
  <c r="J409" i="1"/>
  <c r="D409" i="1"/>
  <c r="R408" i="1"/>
  <c r="Q408" i="1"/>
  <c r="P408" i="1"/>
  <c r="O408" i="1"/>
  <c r="N408" i="1"/>
  <c r="L408" i="1"/>
  <c r="J408" i="1"/>
  <c r="D408" i="1"/>
  <c r="R407" i="1"/>
  <c r="Q407" i="1"/>
  <c r="P407" i="1"/>
  <c r="O407" i="1"/>
  <c r="N407" i="1"/>
  <c r="L407" i="1"/>
  <c r="J407" i="1"/>
  <c r="D407" i="1"/>
  <c r="R406" i="1"/>
  <c r="Q406" i="1"/>
  <c r="P406" i="1"/>
  <c r="O406" i="1"/>
  <c r="N406" i="1"/>
  <c r="L406" i="1"/>
  <c r="J406" i="1"/>
  <c r="D406" i="1"/>
  <c r="R405" i="1"/>
  <c r="Q405" i="1"/>
  <c r="P405" i="1"/>
  <c r="O405" i="1"/>
  <c r="N405" i="1"/>
  <c r="L405" i="1"/>
  <c r="J405" i="1"/>
  <c r="D405" i="1"/>
  <c r="R404" i="1"/>
  <c r="Q404" i="1"/>
  <c r="P404" i="1"/>
  <c r="O404" i="1"/>
  <c r="N404" i="1"/>
  <c r="L404" i="1"/>
  <c r="J404" i="1"/>
  <c r="D404" i="1"/>
  <c r="R403" i="1"/>
  <c r="Q403" i="1"/>
  <c r="P403" i="1"/>
  <c r="O403" i="1"/>
  <c r="N403" i="1"/>
  <c r="L403" i="1"/>
  <c r="J403" i="1"/>
  <c r="D403" i="1"/>
  <c r="R402" i="1"/>
  <c r="Q402" i="1"/>
  <c r="P402" i="1"/>
  <c r="O402" i="1"/>
  <c r="N402" i="1"/>
  <c r="L402" i="1"/>
  <c r="J402" i="1"/>
  <c r="D402" i="1"/>
  <c r="R401" i="1"/>
  <c r="Q401" i="1"/>
  <c r="P401" i="1"/>
  <c r="O401" i="1"/>
  <c r="N401" i="1"/>
  <c r="L401" i="1"/>
  <c r="J401" i="1"/>
  <c r="D401" i="1"/>
  <c r="R400" i="1"/>
  <c r="Q400" i="1"/>
  <c r="P400" i="1"/>
  <c r="O400" i="1"/>
  <c r="N400" i="1"/>
  <c r="L400" i="1"/>
  <c r="J400" i="1"/>
  <c r="D400" i="1"/>
  <c r="R399" i="1"/>
  <c r="Q399" i="1"/>
  <c r="P399" i="1"/>
  <c r="O399" i="1"/>
  <c r="N399" i="1"/>
  <c r="L399" i="1"/>
  <c r="J399" i="1"/>
  <c r="D399" i="1"/>
  <c r="R398" i="1"/>
  <c r="Q398" i="1"/>
  <c r="P398" i="1"/>
  <c r="O398" i="1"/>
  <c r="N398" i="1"/>
  <c r="L398" i="1"/>
  <c r="J398" i="1"/>
  <c r="D398" i="1"/>
  <c r="R397" i="1"/>
  <c r="Q397" i="1"/>
  <c r="P397" i="1"/>
  <c r="O397" i="1"/>
  <c r="N397" i="1"/>
  <c r="L397" i="1"/>
  <c r="J397" i="1"/>
  <c r="D397" i="1"/>
  <c r="R396" i="1"/>
  <c r="Q396" i="1"/>
  <c r="P396" i="1"/>
  <c r="O396" i="1"/>
  <c r="N396" i="1"/>
  <c r="L396" i="1"/>
  <c r="J396" i="1"/>
  <c r="D396" i="1"/>
  <c r="R395" i="1"/>
  <c r="Q395" i="1"/>
  <c r="P395" i="1"/>
  <c r="O395" i="1"/>
  <c r="N395" i="1"/>
  <c r="L395" i="1"/>
  <c r="J395" i="1"/>
  <c r="D395" i="1"/>
  <c r="R394" i="1"/>
  <c r="Q394" i="1"/>
  <c r="P394" i="1"/>
  <c r="O394" i="1"/>
  <c r="N394" i="1"/>
  <c r="L394" i="1"/>
  <c r="J394" i="1"/>
  <c r="D394" i="1"/>
  <c r="R393" i="1"/>
  <c r="Q393" i="1"/>
  <c r="P393" i="1"/>
  <c r="O393" i="1"/>
  <c r="N393" i="1"/>
  <c r="L393" i="1"/>
  <c r="J393" i="1"/>
  <c r="D393" i="1"/>
  <c r="R392" i="1"/>
  <c r="Q392" i="1"/>
  <c r="P392" i="1"/>
  <c r="O392" i="1"/>
  <c r="N392" i="1"/>
  <c r="L392" i="1"/>
  <c r="J392" i="1"/>
  <c r="D392" i="1"/>
  <c r="R391" i="1"/>
  <c r="Q391" i="1"/>
  <c r="P391" i="1"/>
  <c r="O391" i="1"/>
  <c r="N391" i="1"/>
  <c r="L391" i="1"/>
  <c r="J391" i="1"/>
  <c r="D391" i="1"/>
  <c r="R390" i="1"/>
  <c r="Q390" i="1"/>
  <c r="P390" i="1"/>
  <c r="O390" i="1"/>
  <c r="N390" i="1"/>
  <c r="L390" i="1"/>
  <c r="J390" i="1"/>
  <c r="D390" i="1"/>
  <c r="R389" i="1"/>
  <c r="Q389" i="1"/>
  <c r="P389" i="1"/>
  <c r="O389" i="1"/>
  <c r="N389" i="1"/>
  <c r="L389" i="1"/>
  <c r="J389" i="1"/>
  <c r="D389" i="1"/>
  <c r="R388" i="1"/>
  <c r="Q388" i="1"/>
  <c r="P388" i="1"/>
  <c r="O388" i="1"/>
  <c r="N388" i="1"/>
  <c r="L388" i="1"/>
  <c r="J388" i="1"/>
  <c r="D388" i="1"/>
  <c r="R387" i="1"/>
  <c r="Q387" i="1"/>
  <c r="P387" i="1"/>
  <c r="O387" i="1"/>
  <c r="N387" i="1"/>
  <c r="L387" i="1"/>
  <c r="J387" i="1"/>
  <c r="D387" i="1"/>
  <c r="R386" i="1"/>
  <c r="Q386" i="1"/>
  <c r="P386" i="1"/>
  <c r="O386" i="1"/>
  <c r="N386" i="1"/>
  <c r="L386" i="1"/>
  <c r="J386" i="1"/>
  <c r="D386" i="1"/>
  <c r="R385" i="1"/>
  <c r="Q385" i="1"/>
  <c r="P385" i="1"/>
  <c r="O385" i="1"/>
  <c r="N385" i="1"/>
  <c r="L385" i="1"/>
  <c r="J385" i="1"/>
  <c r="D385" i="1"/>
  <c r="R383" i="1"/>
  <c r="Q383" i="1"/>
  <c r="P383" i="1"/>
  <c r="O383" i="1"/>
  <c r="N383" i="1"/>
  <c r="L383" i="1"/>
  <c r="J383" i="1"/>
  <c r="D383" i="1"/>
  <c r="R384" i="1"/>
  <c r="Q384" i="1"/>
  <c r="P384" i="1"/>
  <c r="O384" i="1"/>
  <c r="N384" i="1"/>
  <c r="L384" i="1"/>
  <c r="J384" i="1"/>
  <c r="D384" i="1"/>
  <c r="R382" i="1"/>
  <c r="Q382" i="1"/>
  <c r="P382" i="1"/>
  <c r="O382" i="1"/>
  <c r="N382" i="1"/>
  <c r="L382" i="1"/>
  <c r="J382" i="1"/>
  <c r="D382" i="1"/>
  <c r="R381" i="1"/>
  <c r="Q381" i="1"/>
  <c r="P381" i="1"/>
  <c r="O381" i="1"/>
  <c r="N381" i="1"/>
  <c r="L381" i="1"/>
  <c r="J381" i="1"/>
  <c r="D381" i="1"/>
  <c r="R380" i="1"/>
  <c r="Q380" i="1"/>
  <c r="P380" i="1"/>
  <c r="O380" i="1"/>
  <c r="N380" i="1"/>
  <c r="L380" i="1"/>
  <c r="J380" i="1"/>
  <c r="D380" i="1"/>
  <c r="R379" i="1"/>
  <c r="Q379" i="1"/>
  <c r="P379" i="1"/>
  <c r="O379" i="1"/>
  <c r="N379" i="1"/>
  <c r="L379" i="1"/>
  <c r="J379" i="1"/>
  <c r="D379" i="1"/>
  <c r="R378" i="1"/>
  <c r="Q378" i="1"/>
  <c r="P378" i="1"/>
  <c r="O378" i="1"/>
  <c r="N378" i="1"/>
  <c r="L378" i="1"/>
  <c r="J378" i="1"/>
  <c r="D378" i="1"/>
  <c r="R377" i="1"/>
  <c r="Q377" i="1"/>
  <c r="P377" i="1"/>
  <c r="O377" i="1"/>
  <c r="N377" i="1"/>
  <c r="L377" i="1"/>
  <c r="J377" i="1"/>
  <c r="D377" i="1"/>
  <c r="R376" i="1"/>
  <c r="Q376" i="1"/>
  <c r="P376" i="1"/>
  <c r="O376" i="1"/>
  <c r="N376" i="1"/>
  <c r="L376" i="1"/>
  <c r="J376" i="1"/>
  <c r="D376" i="1"/>
  <c r="R375" i="1"/>
  <c r="Q375" i="1"/>
  <c r="P375" i="1"/>
  <c r="O375" i="1"/>
  <c r="N375" i="1"/>
  <c r="L375" i="1"/>
  <c r="J375" i="1"/>
  <c r="D375" i="1"/>
  <c r="R374" i="1"/>
  <c r="Q374" i="1"/>
  <c r="P374" i="1"/>
  <c r="O374" i="1"/>
  <c r="N374" i="1"/>
  <c r="L374" i="1"/>
  <c r="J374" i="1"/>
  <c r="D374" i="1"/>
  <c r="R373" i="1"/>
  <c r="Q373" i="1"/>
  <c r="P373" i="1"/>
  <c r="O373" i="1"/>
  <c r="N373" i="1"/>
  <c r="L373" i="1"/>
  <c r="J373" i="1"/>
  <c r="D373" i="1"/>
  <c r="R372" i="1"/>
  <c r="Q372" i="1"/>
  <c r="P372" i="1"/>
  <c r="O372" i="1"/>
  <c r="N372" i="1"/>
  <c r="L372" i="1"/>
  <c r="J372" i="1"/>
  <c r="D372" i="1"/>
  <c r="R371" i="1"/>
  <c r="Q371" i="1"/>
  <c r="P371" i="1"/>
  <c r="O371" i="1"/>
  <c r="N371" i="1"/>
  <c r="L371" i="1"/>
  <c r="J371" i="1"/>
  <c r="D371" i="1"/>
  <c r="R370" i="1"/>
  <c r="Q370" i="1"/>
  <c r="P370" i="1"/>
  <c r="O370" i="1"/>
  <c r="N370" i="1"/>
  <c r="L370" i="1"/>
  <c r="J370" i="1"/>
  <c r="D370" i="1"/>
  <c r="R369" i="1"/>
  <c r="Q369" i="1"/>
  <c r="P369" i="1"/>
  <c r="O369" i="1"/>
  <c r="N369" i="1"/>
  <c r="L369" i="1"/>
  <c r="J369" i="1"/>
  <c r="D369" i="1"/>
  <c r="R367" i="1"/>
  <c r="Q367" i="1"/>
  <c r="P367" i="1"/>
  <c r="O367" i="1"/>
  <c r="N367" i="1"/>
  <c r="L367" i="1"/>
  <c r="J367" i="1"/>
  <c r="D367" i="1"/>
  <c r="R368" i="1"/>
  <c r="Q368" i="1"/>
  <c r="P368" i="1"/>
  <c r="O368" i="1"/>
  <c r="N368" i="1"/>
  <c r="L368" i="1"/>
  <c r="J368" i="1"/>
  <c r="D368" i="1"/>
  <c r="R366" i="1"/>
  <c r="Q366" i="1"/>
  <c r="P366" i="1"/>
  <c r="O366" i="1"/>
  <c r="N366" i="1"/>
  <c r="L366" i="1"/>
  <c r="J366" i="1"/>
  <c r="D366" i="1"/>
  <c r="R365" i="1"/>
  <c r="Q365" i="1"/>
  <c r="P365" i="1"/>
  <c r="O365" i="1"/>
  <c r="N365" i="1"/>
  <c r="L365" i="1"/>
  <c r="J365" i="1"/>
  <c r="D365" i="1"/>
  <c r="R364" i="1"/>
  <c r="Q364" i="1"/>
  <c r="P364" i="1"/>
  <c r="O364" i="1"/>
  <c r="N364" i="1"/>
  <c r="L364" i="1"/>
  <c r="J364" i="1"/>
  <c r="D364" i="1"/>
  <c r="R363" i="1"/>
  <c r="Q363" i="1"/>
  <c r="P363" i="1"/>
  <c r="O363" i="1"/>
  <c r="N363" i="1"/>
  <c r="L363" i="1"/>
  <c r="J363" i="1"/>
  <c r="D363" i="1"/>
  <c r="R362" i="1"/>
  <c r="Q362" i="1"/>
  <c r="P362" i="1"/>
  <c r="O362" i="1"/>
  <c r="N362" i="1"/>
  <c r="L362" i="1"/>
  <c r="J362" i="1"/>
  <c r="D362" i="1"/>
  <c r="R361" i="1"/>
  <c r="Q361" i="1"/>
  <c r="P361" i="1"/>
  <c r="O361" i="1"/>
  <c r="N361" i="1"/>
  <c r="L361" i="1"/>
  <c r="I151" i="3" s="1"/>
  <c r="J361" i="1"/>
  <c r="D361" i="1"/>
  <c r="R360" i="1"/>
  <c r="Q360" i="1"/>
  <c r="P360" i="1"/>
  <c r="O360" i="1"/>
  <c r="N360" i="1"/>
  <c r="L360" i="1"/>
  <c r="J360" i="1"/>
  <c r="D360" i="1"/>
  <c r="R359" i="1"/>
  <c r="Q359" i="1"/>
  <c r="P359" i="1"/>
  <c r="O359" i="1"/>
  <c r="N359" i="1"/>
  <c r="L359" i="1"/>
  <c r="J359" i="1"/>
  <c r="D359" i="1"/>
  <c r="R358" i="1"/>
  <c r="Q358" i="1"/>
  <c r="P358" i="1"/>
  <c r="O358" i="1"/>
  <c r="N358" i="1"/>
  <c r="L358" i="1"/>
  <c r="J358" i="1"/>
  <c r="D358" i="1"/>
  <c r="R357" i="1"/>
  <c r="Q357" i="1"/>
  <c r="P357" i="1"/>
  <c r="O357" i="1"/>
  <c r="N357" i="1"/>
  <c r="L357" i="1"/>
  <c r="J357" i="1"/>
  <c r="D357" i="1"/>
  <c r="R356" i="1"/>
  <c r="Q356" i="1"/>
  <c r="P356" i="1"/>
  <c r="O356" i="1"/>
  <c r="N356" i="1"/>
  <c r="L356" i="1"/>
  <c r="J356" i="1"/>
  <c r="D356" i="1"/>
  <c r="R355" i="1"/>
  <c r="Q355" i="1"/>
  <c r="P355" i="1"/>
  <c r="O355" i="1"/>
  <c r="N355" i="1"/>
  <c r="L355" i="1"/>
  <c r="J355" i="1"/>
  <c r="D355" i="1"/>
  <c r="R354" i="1"/>
  <c r="Q354" i="1"/>
  <c r="P354" i="1"/>
  <c r="O354" i="1"/>
  <c r="N354" i="1"/>
  <c r="L354" i="1"/>
  <c r="J354" i="1"/>
  <c r="D354" i="1"/>
  <c r="R353" i="1"/>
  <c r="Q353" i="1"/>
  <c r="P353" i="1"/>
  <c r="O353" i="1"/>
  <c r="N353" i="1"/>
  <c r="L353" i="1"/>
  <c r="J353" i="1"/>
  <c r="D353" i="1"/>
  <c r="R352" i="1"/>
  <c r="Q352" i="1"/>
  <c r="P352" i="1"/>
  <c r="O352" i="1"/>
  <c r="N352" i="1"/>
  <c r="L352" i="1"/>
  <c r="J352" i="1"/>
  <c r="D352" i="1"/>
  <c r="R351" i="1"/>
  <c r="Q351" i="1"/>
  <c r="P351" i="1"/>
  <c r="O351" i="1"/>
  <c r="N351" i="1"/>
  <c r="L351" i="1"/>
  <c r="J351" i="1"/>
  <c r="D351" i="1"/>
  <c r="R350" i="1"/>
  <c r="Q350" i="1"/>
  <c r="P350" i="1"/>
  <c r="O350" i="1"/>
  <c r="N350" i="1"/>
  <c r="L350" i="1"/>
  <c r="J350" i="1"/>
  <c r="D350" i="1"/>
  <c r="R349" i="1"/>
  <c r="Q349" i="1"/>
  <c r="P349" i="1"/>
  <c r="O349" i="1"/>
  <c r="N349" i="1"/>
  <c r="L349" i="1"/>
  <c r="J349" i="1"/>
  <c r="D349" i="1"/>
  <c r="R348" i="1"/>
  <c r="Q348" i="1"/>
  <c r="P348" i="1"/>
  <c r="O348" i="1"/>
  <c r="N348" i="1"/>
  <c r="L348" i="1"/>
  <c r="J348" i="1"/>
  <c r="D348" i="1"/>
  <c r="R347" i="1"/>
  <c r="Q347" i="1"/>
  <c r="P347" i="1"/>
  <c r="O347" i="1"/>
  <c r="N347" i="1"/>
  <c r="L347" i="1"/>
  <c r="J347" i="1"/>
  <c r="D347" i="1"/>
  <c r="R346" i="1"/>
  <c r="Q346" i="1"/>
  <c r="P346" i="1"/>
  <c r="O346" i="1"/>
  <c r="N346" i="1"/>
  <c r="L346" i="1"/>
  <c r="J346" i="1"/>
  <c r="D346" i="1"/>
  <c r="R345" i="1"/>
  <c r="Q345" i="1"/>
  <c r="P345" i="1"/>
  <c r="O345" i="1"/>
  <c r="N345" i="1"/>
  <c r="L345" i="1"/>
  <c r="J345" i="1"/>
  <c r="D345" i="1"/>
  <c r="R344" i="1"/>
  <c r="Q344" i="1"/>
  <c r="P344" i="1"/>
  <c r="O344" i="1"/>
  <c r="N344" i="1"/>
  <c r="L344" i="1"/>
  <c r="J344" i="1"/>
  <c r="D344" i="1"/>
  <c r="R343" i="1"/>
  <c r="Q343" i="1"/>
  <c r="P343" i="1"/>
  <c r="O343" i="1"/>
  <c r="N343" i="1"/>
  <c r="L343" i="1"/>
  <c r="J343" i="1"/>
  <c r="D343" i="1"/>
  <c r="R342" i="1"/>
  <c r="Q342" i="1"/>
  <c r="P342" i="1"/>
  <c r="O342" i="1"/>
  <c r="N342" i="1"/>
  <c r="L342" i="1"/>
  <c r="J342" i="1"/>
  <c r="D342" i="1"/>
  <c r="R341" i="1"/>
  <c r="Q341" i="1"/>
  <c r="P341" i="1"/>
  <c r="O341" i="1"/>
  <c r="N341" i="1"/>
  <c r="L341" i="1"/>
  <c r="J341" i="1"/>
  <c r="D341" i="1"/>
  <c r="R339" i="1"/>
  <c r="Q339" i="1"/>
  <c r="P339" i="1"/>
  <c r="O339" i="1"/>
  <c r="N339" i="1"/>
  <c r="L339" i="1"/>
  <c r="J339" i="1"/>
  <c r="D339" i="1"/>
  <c r="R340" i="1"/>
  <c r="Q340" i="1"/>
  <c r="P340" i="1"/>
  <c r="O340" i="1"/>
  <c r="N340" i="1"/>
  <c r="L340" i="1"/>
  <c r="J340" i="1"/>
  <c r="D340" i="1"/>
  <c r="R336" i="1"/>
  <c r="Q336" i="1"/>
  <c r="P336" i="1"/>
  <c r="O336" i="1"/>
  <c r="N336" i="1"/>
  <c r="L336" i="1"/>
  <c r="J336" i="1"/>
  <c r="D336" i="1"/>
  <c r="R338" i="1"/>
  <c r="Q338" i="1"/>
  <c r="P338" i="1"/>
  <c r="O338" i="1"/>
  <c r="N338" i="1"/>
  <c r="L338" i="1"/>
  <c r="J338" i="1"/>
  <c r="D338" i="1"/>
  <c r="R337" i="1"/>
  <c r="Q337" i="1"/>
  <c r="P337" i="1"/>
  <c r="O337" i="1"/>
  <c r="N337" i="1"/>
  <c r="L337" i="1"/>
  <c r="J337" i="1"/>
  <c r="D337" i="1"/>
  <c r="R335" i="1"/>
  <c r="Q335" i="1"/>
  <c r="P335" i="1"/>
  <c r="O335" i="1"/>
  <c r="N335" i="1"/>
  <c r="L335" i="1"/>
  <c r="J335" i="1"/>
  <c r="D335" i="1"/>
  <c r="R334" i="1"/>
  <c r="Q334" i="1"/>
  <c r="P334" i="1"/>
  <c r="O334" i="1"/>
  <c r="N334" i="1"/>
  <c r="L334" i="1"/>
  <c r="J334" i="1"/>
  <c r="D334" i="1"/>
  <c r="R333" i="1"/>
  <c r="Q333" i="1"/>
  <c r="P333" i="1"/>
  <c r="O333" i="1"/>
  <c r="N333" i="1"/>
  <c r="L333" i="1"/>
  <c r="J333" i="1"/>
  <c r="D333" i="1"/>
  <c r="R332" i="1"/>
  <c r="Q332" i="1"/>
  <c r="P332" i="1"/>
  <c r="O332" i="1"/>
  <c r="N332" i="1"/>
  <c r="L332" i="1"/>
  <c r="J332" i="1"/>
  <c r="D332" i="1"/>
  <c r="R331" i="1"/>
  <c r="Q331" i="1"/>
  <c r="P331" i="1"/>
  <c r="O331" i="1"/>
  <c r="N331" i="1"/>
  <c r="L331" i="1"/>
  <c r="J331" i="1"/>
  <c r="D331" i="1"/>
  <c r="R330" i="1"/>
  <c r="Q330" i="1"/>
  <c r="P330" i="1"/>
  <c r="O330" i="1"/>
  <c r="N330" i="1"/>
  <c r="L330" i="1"/>
  <c r="J330" i="1"/>
  <c r="D330" i="1"/>
  <c r="R329" i="1"/>
  <c r="Q329" i="1"/>
  <c r="P329" i="1"/>
  <c r="O329" i="1"/>
  <c r="N329" i="1"/>
  <c r="L329" i="1"/>
  <c r="J329" i="1"/>
  <c r="D329" i="1"/>
  <c r="R328" i="1"/>
  <c r="Q328" i="1"/>
  <c r="P328" i="1"/>
  <c r="O328" i="1"/>
  <c r="N328" i="1"/>
  <c r="L328" i="1"/>
  <c r="J328" i="1"/>
  <c r="D328" i="1"/>
  <c r="R327" i="1"/>
  <c r="Q327" i="1"/>
  <c r="P327" i="1"/>
  <c r="O327" i="1"/>
  <c r="N327" i="1"/>
  <c r="L327" i="1"/>
  <c r="J327" i="1"/>
  <c r="D327" i="1"/>
  <c r="R326" i="1"/>
  <c r="Q326" i="1"/>
  <c r="P326" i="1"/>
  <c r="O326" i="1"/>
  <c r="N326" i="1"/>
  <c r="L326" i="1"/>
  <c r="J326" i="1"/>
  <c r="D326" i="1"/>
  <c r="R324" i="1"/>
  <c r="Q324" i="1"/>
  <c r="P324" i="1"/>
  <c r="O324" i="1"/>
  <c r="N324" i="1"/>
  <c r="L324" i="1"/>
  <c r="J324" i="1"/>
  <c r="D324" i="1"/>
  <c r="R325" i="1"/>
  <c r="Q325" i="1"/>
  <c r="P325" i="1"/>
  <c r="O325" i="1"/>
  <c r="N325" i="1"/>
  <c r="L325" i="1"/>
  <c r="J325" i="1"/>
  <c r="D325" i="1"/>
  <c r="R323" i="1"/>
  <c r="Q323" i="1"/>
  <c r="P323" i="1"/>
  <c r="O323" i="1"/>
  <c r="N323" i="1"/>
  <c r="L323" i="1"/>
  <c r="J323" i="1"/>
  <c r="D323" i="1"/>
  <c r="R322" i="1"/>
  <c r="Q322" i="1"/>
  <c r="P322" i="1"/>
  <c r="O322" i="1"/>
  <c r="N322" i="1"/>
  <c r="L322" i="1"/>
  <c r="J322" i="1"/>
  <c r="D322" i="1"/>
  <c r="R321" i="1"/>
  <c r="Q321" i="1"/>
  <c r="P321" i="1"/>
  <c r="O321" i="1"/>
  <c r="N321" i="1"/>
  <c r="L321" i="1"/>
  <c r="J321" i="1"/>
  <c r="D321" i="1"/>
  <c r="R320" i="1"/>
  <c r="Q320" i="1"/>
  <c r="P320" i="1"/>
  <c r="O320" i="1"/>
  <c r="N320" i="1"/>
  <c r="L320" i="1"/>
  <c r="J320" i="1"/>
  <c r="D320" i="1"/>
  <c r="R319" i="1"/>
  <c r="Q319" i="1"/>
  <c r="P319" i="1"/>
  <c r="O319" i="1"/>
  <c r="N319" i="1"/>
  <c r="L319" i="1"/>
  <c r="J319" i="1"/>
  <c r="D319" i="1"/>
  <c r="R318" i="1"/>
  <c r="Q318" i="1"/>
  <c r="P318" i="1"/>
  <c r="O318" i="1"/>
  <c r="N318" i="1"/>
  <c r="L318" i="1"/>
  <c r="J318" i="1"/>
  <c r="D318" i="1"/>
  <c r="R317" i="1"/>
  <c r="Q317" i="1"/>
  <c r="P317" i="1"/>
  <c r="O317" i="1"/>
  <c r="N317" i="1"/>
  <c r="L317" i="1"/>
  <c r="J317" i="1"/>
  <c r="D317" i="1"/>
  <c r="R316" i="1"/>
  <c r="Q316" i="1"/>
  <c r="P316" i="1"/>
  <c r="O316" i="1"/>
  <c r="N316" i="1"/>
  <c r="L316" i="1"/>
  <c r="J316" i="1"/>
  <c r="D316" i="1"/>
  <c r="R315" i="1"/>
  <c r="Q315" i="1"/>
  <c r="P315" i="1"/>
  <c r="O315" i="1"/>
  <c r="N315" i="1"/>
  <c r="L315" i="1"/>
  <c r="J315" i="1"/>
  <c r="D315" i="1"/>
  <c r="R314" i="1"/>
  <c r="Q314" i="1"/>
  <c r="P314" i="1"/>
  <c r="O314" i="1"/>
  <c r="N314" i="1"/>
  <c r="L314" i="1"/>
  <c r="J314" i="1"/>
  <c r="D314" i="1"/>
  <c r="R313" i="1"/>
  <c r="Q313" i="1"/>
  <c r="P313" i="1"/>
  <c r="O313" i="1"/>
  <c r="N313" i="1"/>
  <c r="L313" i="1"/>
  <c r="J313" i="1"/>
  <c r="D313" i="1"/>
  <c r="R312" i="1"/>
  <c r="Q312" i="1"/>
  <c r="P312" i="1"/>
  <c r="O312" i="1"/>
  <c r="N312" i="1"/>
  <c r="L312" i="1"/>
  <c r="J312" i="1"/>
  <c r="D312" i="1"/>
  <c r="R310" i="1"/>
  <c r="Q310" i="1"/>
  <c r="P310" i="1"/>
  <c r="O310" i="1"/>
  <c r="N310" i="1"/>
  <c r="L310" i="1"/>
  <c r="J310" i="1"/>
  <c r="D310" i="1"/>
  <c r="R311" i="1"/>
  <c r="Q311" i="1"/>
  <c r="P311" i="1"/>
  <c r="O311" i="1"/>
  <c r="N311" i="1"/>
  <c r="L311" i="1"/>
  <c r="J311" i="1"/>
  <c r="D311" i="1"/>
  <c r="R309" i="1"/>
  <c r="Q309" i="1"/>
  <c r="P309" i="1"/>
  <c r="O309" i="1"/>
  <c r="N309" i="1"/>
  <c r="L309" i="1"/>
  <c r="J309" i="1"/>
  <c r="D309" i="1"/>
  <c r="R308" i="1"/>
  <c r="Q308" i="1"/>
  <c r="P308" i="1"/>
  <c r="O308" i="1"/>
  <c r="N308" i="1"/>
  <c r="L308" i="1"/>
  <c r="J308" i="1"/>
  <c r="D308" i="1"/>
  <c r="R307" i="1"/>
  <c r="Q307" i="1"/>
  <c r="P307" i="1"/>
  <c r="O307" i="1"/>
  <c r="N307" i="1"/>
  <c r="L307" i="1"/>
  <c r="J307" i="1"/>
  <c r="D307" i="1"/>
  <c r="R305" i="1"/>
  <c r="Q305" i="1"/>
  <c r="P305" i="1"/>
  <c r="O305" i="1"/>
  <c r="N305" i="1"/>
  <c r="L305" i="1"/>
  <c r="J305" i="1"/>
  <c r="D305" i="1"/>
  <c r="R306" i="1"/>
  <c r="Q306" i="1"/>
  <c r="P306" i="1"/>
  <c r="O306" i="1"/>
  <c r="N306" i="1"/>
  <c r="L306" i="1"/>
  <c r="J306" i="1"/>
  <c r="D306" i="1"/>
  <c r="R304" i="1"/>
  <c r="Q304" i="1"/>
  <c r="P304" i="1"/>
  <c r="O304" i="1"/>
  <c r="N304" i="1"/>
  <c r="L304" i="1"/>
  <c r="J304" i="1"/>
  <c r="D304" i="1"/>
  <c r="R302" i="1"/>
  <c r="Q302" i="1"/>
  <c r="P302" i="1"/>
  <c r="O302" i="1"/>
  <c r="N302" i="1"/>
  <c r="L302" i="1"/>
  <c r="J302" i="1"/>
  <c r="D302" i="1"/>
  <c r="R303" i="1"/>
  <c r="Q303" i="1"/>
  <c r="P303" i="1"/>
  <c r="O303" i="1"/>
  <c r="N303" i="1"/>
  <c r="L303" i="1"/>
  <c r="J303" i="1"/>
  <c r="D303" i="1"/>
  <c r="R301" i="1"/>
  <c r="Q301" i="1"/>
  <c r="P301" i="1"/>
  <c r="O301" i="1"/>
  <c r="N301" i="1"/>
  <c r="L301" i="1"/>
  <c r="J301" i="1"/>
  <c r="D301" i="1"/>
  <c r="R300" i="1"/>
  <c r="Q300" i="1"/>
  <c r="P300" i="1"/>
  <c r="O300" i="1"/>
  <c r="N300" i="1"/>
  <c r="L300" i="1"/>
  <c r="J300" i="1"/>
  <c r="D300" i="1"/>
  <c r="R298" i="1"/>
  <c r="Q298" i="1"/>
  <c r="P298" i="1"/>
  <c r="O298" i="1"/>
  <c r="N298" i="1"/>
  <c r="L298" i="1"/>
  <c r="J298" i="1"/>
  <c r="D298" i="1"/>
  <c r="R299" i="1"/>
  <c r="Q299" i="1"/>
  <c r="P299" i="1"/>
  <c r="O299" i="1"/>
  <c r="N299" i="1"/>
  <c r="L299" i="1"/>
  <c r="J299" i="1"/>
  <c r="D299" i="1"/>
  <c r="R297" i="1"/>
  <c r="Q297" i="1"/>
  <c r="P297" i="1"/>
  <c r="O297" i="1"/>
  <c r="N297" i="1"/>
  <c r="L297" i="1"/>
  <c r="J297" i="1"/>
  <c r="D297" i="1"/>
  <c r="R296" i="1"/>
  <c r="Q296" i="1"/>
  <c r="P296" i="1"/>
  <c r="O296" i="1"/>
  <c r="N296" i="1"/>
  <c r="L296" i="1"/>
  <c r="J296" i="1"/>
  <c r="D296" i="1"/>
  <c r="R295" i="1"/>
  <c r="Q295" i="1"/>
  <c r="P295" i="1"/>
  <c r="O295" i="1"/>
  <c r="N295" i="1"/>
  <c r="L295" i="1"/>
  <c r="J295" i="1"/>
  <c r="D295" i="1"/>
  <c r="R294" i="1"/>
  <c r="Q294" i="1"/>
  <c r="P294" i="1"/>
  <c r="O294" i="1"/>
  <c r="L294" i="1"/>
  <c r="J294" i="1"/>
  <c r="D294" i="1"/>
  <c r="R293" i="1"/>
  <c r="Q293" i="1"/>
  <c r="P293" i="1"/>
  <c r="O293" i="1"/>
  <c r="N293" i="1"/>
  <c r="L293" i="1"/>
  <c r="J293" i="1"/>
  <c r="D293" i="1"/>
  <c r="R291" i="1"/>
  <c r="Q291" i="1"/>
  <c r="P291" i="1"/>
  <c r="O291" i="1"/>
  <c r="N291" i="1"/>
  <c r="L291" i="1"/>
  <c r="J291" i="1"/>
  <c r="D291" i="1"/>
  <c r="R292" i="1"/>
  <c r="Q292" i="1"/>
  <c r="P292" i="1"/>
  <c r="O292" i="1"/>
  <c r="N292" i="1"/>
  <c r="L292" i="1"/>
  <c r="J292" i="1"/>
  <c r="D292" i="1"/>
  <c r="R290" i="1"/>
  <c r="Q290" i="1"/>
  <c r="P290" i="1"/>
  <c r="O290" i="1"/>
  <c r="N290" i="1"/>
  <c r="L290" i="1"/>
  <c r="J290" i="1"/>
  <c r="D290" i="1"/>
  <c r="R289" i="1"/>
  <c r="Q289" i="1"/>
  <c r="P289" i="1"/>
  <c r="O289" i="1"/>
  <c r="N289" i="1"/>
  <c r="L289" i="1"/>
  <c r="J289" i="1"/>
  <c r="D289" i="1"/>
  <c r="R288" i="1"/>
  <c r="Q288" i="1"/>
  <c r="P288" i="1"/>
  <c r="O288" i="1"/>
  <c r="N288" i="1"/>
  <c r="L288" i="1"/>
  <c r="J288" i="1"/>
  <c r="D288" i="1"/>
  <c r="R287" i="1"/>
  <c r="Q287" i="1"/>
  <c r="P287" i="1"/>
  <c r="O287" i="1"/>
  <c r="N287" i="1"/>
  <c r="L287" i="1"/>
  <c r="J287" i="1"/>
  <c r="D287" i="1"/>
  <c r="R286" i="1"/>
  <c r="Q286" i="1"/>
  <c r="P286" i="1"/>
  <c r="O286" i="1"/>
  <c r="N286" i="1"/>
  <c r="L286" i="1"/>
  <c r="J286" i="1"/>
  <c r="D286" i="1"/>
  <c r="R285" i="1"/>
  <c r="Q285" i="1"/>
  <c r="P285" i="1"/>
  <c r="O285" i="1"/>
  <c r="N285" i="1"/>
  <c r="L285" i="1"/>
  <c r="J285" i="1"/>
  <c r="D285" i="1"/>
  <c r="R284" i="1"/>
  <c r="Q284" i="1"/>
  <c r="P284" i="1"/>
  <c r="O284" i="1"/>
  <c r="N284" i="1"/>
  <c r="L284" i="1"/>
  <c r="J284" i="1"/>
  <c r="D284" i="1"/>
  <c r="R283" i="1"/>
  <c r="Q283" i="1"/>
  <c r="P283" i="1"/>
  <c r="O283" i="1"/>
  <c r="N283" i="1"/>
  <c r="L283" i="1"/>
  <c r="J283" i="1"/>
  <c r="D283" i="1"/>
  <c r="R282" i="1"/>
  <c r="Q282" i="1"/>
  <c r="P282" i="1"/>
  <c r="O282" i="1"/>
  <c r="N282" i="1"/>
  <c r="L282" i="1"/>
  <c r="J282" i="1"/>
  <c r="D282" i="1"/>
  <c r="R281" i="1"/>
  <c r="Q281" i="1"/>
  <c r="P281" i="1"/>
  <c r="O281" i="1"/>
  <c r="N281" i="1"/>
  <c r="L281" i="1"/>
  <c r="J281" i="1"/>
  <c r="D281" i="1"/>
  <c r="R280" i="1"/>
  <c r="Q280" i="1"/>
  <c r="P280" i="1"/>
  <c r="O280" i="1"/>
  <c r="N280" i="1"/>
  <c r="L280" i="1"/>
  <c r="J280" i="1"/>
  <c r="D280" i="1"/>
  <c r="R279" i="1"/>
  <c r="Q279" i="1"/>
  <c r="P279" i="1"/>
  <c r="O279" i="1"/>
  <c r="N279" i="1"/>
  <c r="L279" i="1"/>
  <c r="J279" i="1"/>
  <c r="D279" i="1"/>
  <c r="R278" i="1"/>
  <c r="Q278" i="1"/>
  <c r="P278" i="1"/>
  <c r="O278" i="1"/>
  <c r="N278" i="1"/>
  <c r="L278" i="1"/>
  <c r="J278" i="1"/>
  <c r="D278" i="1"/>
  <c r="R277" i="1"/>
  <c r="Q277" i="1"/>
  <c r="P277" i="1"/>
  <c r="O277" i="1"/>
  <c r="N277" i="1"/>
  <c r="L277" i="1"/>
  <c r="J277" i="1"/>
  <c r="D277" i="1"/>
  <c r="R276" i="1"/>
  <c r="Q276" i="1"/>
  <c r="P276" i="1"/>
  <c r="O276" i="1"/>
  <c r="N276" i="1"/>
  <c r="L276" i="1"/>
  <c r="J276" i="1"/>
  <c r="D276" i="1"/>
  <c r="R275" i="1"/>
  <c r="Q275" i="1"/>
  <c r="P275" i="1"/>
  <c r="O275" i="1"/>
  <c r="N275" i="1"/>
  <c r="L275" i="1"/>
  <c r="J275" i="1"/>
  <c r="D275" i="1"/>
  <c r="R274" i="1"/>
  <c r="Q274" i="1"/>
  <c r="P274" i="1"/>
  <c r="O274" i="1"/>
  <c r="N274" i="1"/>
  <c r="L274" i="1"/>
  <c r="J274" i="1"/>
  <c r="D274" i="1"/>
  <c r="R270" i="1"/>
  <c r="Q270" i="1"/>
  <c r="P270" i="1"/>
  <c r="O270" i="1"/>
  <c r="N270" i="1"/>
  <c r="L270" i="1"/>
  <c r="J270" i="1"/>
  <c r="D270" i="1"/>
  <c r="R273" i="1"/>
  <c r="Q273" i="1"/>
  <c r="P273" i="1"/>
  <c r="O273" i="1"/>
  <c r="N273" i="1"/>
  <c r="L273" i="1"/>
  <c r="J273" i="1"/>
  <c r="D273" i="1"/>
  <c r="R272" i="1"/>
  <c r="Q272" i="1"/>
  <c r="P272" i="1"/>
  <c r="O272" i="1"/>
  <c r="N272" i="1"/>
  <c r="L272" i="1"/>
  <c r="J272" i="1"/>
  <c r="D272" i="1"/>
  <c r="R271" i="1"/>
  <c r="Q271" i="1"/>
  <c r="P271" i="1"/>
  <c r="O271" i="1"/>
  <c r="N271" i="1"/>
  <c r="L271" i="1"/>
  <c r="J271" i="1"/>
  <c r="D271" i="1"/>
  <c r="R269" i="1"/>
  <c r="Q269" i="1"/>
  <c r="P269" i="1"/>
  <c r="O269" i="1"/>
  <c r="N269" i="1"/>
  <c r="L269" i="1"/>
  <c r="J269" i="1"/>
  <c r="D269" i="1"/>
  <c r="R268" i="1"/>
  <c r="Q268" i="1"/>
  <c r="P268" i="1"/>
  <c r="O268" i="1"/>
  <c r="N268" i="1"/>
  <c r="L268" i="1"/>
  <c r="J268" i="1"/>
  <c r="D268" i="1"/>
  <c r="R267" i="1"/>
  <c r="Q267" i="1"/>
  <c r="P267" i="1"/>
  <c r="O267" i="1"/>
  <c r="N267" i="1"/>
  <c r="L267" i="1"/>
  <c r="J267" i="1"/>
  <c r="D267" i="1"/>
  <c r="R266" i="1"/>
  <c r="Q266" i="1"/>
  <c r="P266" i="1"/>
  <c r="O266" i="1"/>
  <c r="N266" i="1"/>
  <c r="L266" i="1"/>
  <c r="J266" i="1"/>
  <c r="D266" i="1"/>
  <c r="R265" i="1"/>
  <c r="Q265" i="1"/>
  <c r="P265" i="1"/>
  <c r="O265" i="1"/>
  <c r="N265" i="1"/>
  <c r="L265" i="1"/>
  <c r="J265" i="1"/>
  <c r="D265" i="1"/>
  <c r="R264" i="1"/>
  <c r="Q264" i="1"/>
  <c r="P264" i="1"/>
  <c r="O264" i="1"/>
  <c r="N264" i="1"/>
  <c r="L264" i="1"/>
  <c r="J264" i="1"/>
  <c r="D264" i="1"/>
  <c r="R263" i="1"/>
  <c r="Q263" i="1"/>
  <c r="P263" i="1"/>
  <c r="O263" i="1"/>
  <c r="N263" i="1"/>
  <c r="L263" i="1"/>
  <c r="J263" i="1"/>
  <c r="D263" i="1"/>
  <c r="R262" i="1"/>
  <c r="Q262" i="1"/>
  <c r="P262" i="1"/>
  <c r="O262" i="1"/>
  <c r="N262" i="1"/>
  <c r="L262" i="1"/>
  <c r="J262" i="1"/>
  <c r="D262" i="1"/>
  <c r="R261" i="1"/>
  <c r="Q261" i="1"/>
  <c r="P261" i="1"/>
  <c r="O261" i="1"/>
  <c r="N261" i="1"/>
  <c r="L261" i="1"/>
  <c r="J261" i="1"/>
  <c r="D261" i="1"/>
  <c r="R260" i="1"/>
  <c r="Q260" i="1"/>
  <c r="P260" i="1"/>
  <c r="O260" i="1"/>
  <c r="L260" i="1"/>
  <c r="J260" i="1"/>
  <c r="D260" i="1"/>
  <c r="R259" i="1"/>
  <c r="Q259" i="1"/>
  <c r="P259" i="1"/>
  <c r="O259" i="1"/>
  <c r="N259" i="1"/>
  <c r="L259" i="1"/>
  <c r="J259" i="1"/>
  <c r="D259" i="1"/>
  <c r="R258" i="1"/>
  <c r="Q258" i="1"/>
  <c r="P258" i="1"/>
  <c r="O258" i="1"/>
  <c r="N258" i="1"/>
  <c r="L258" i="1"/>
  <c r="I193" i="3" s="1"/>
  <c r="J258" i="1"/>
  <c r="D258" i="1"/>
  <c r="R257" i="1"/>
  <c r="Q257" i="1"/>
  <c r="P257" i="1"/>
  <c r="O257" i="1"/>
  <c r="N257" i="1"/>
  <c r="L257" i="1"/>
  <c r="J257" i="1"/>
  <c r="D257" i="1"/>
  <c r="R256" i="1"/>
  <c r="Q256" i="1"/>
  <c r="P256" i="1"/>
  <c r="O256" i="1"/>
  <c r="N256" i="1"/>
  <c r="L256" i="1"/>
  <c r="J256" i="1"/>
  <c r="D256" i="1"/>
  <c r="R255" i="1"/>
  <c r="Q255" i="1"/>
  <c r="P255" i="1"/>
  <c r="O255" i="1"/>
  <c r="N255" i="1"/>
  <c r="L255" i="1"/>
  <c r="J255" i="1"/>
  <c r="D255" i="1"/>
  <c r="R254" i="1"/>
  <c r="Q254" i="1"/>
  <c r="P254" i="1"/>
  <c r="O254" i="1"/>
  <c r="N254" i="1"/>
  <c r="L254" i="1"/>
  <c r="J254" i="1"/>
  <c r="D254" i="1"/>
  <c r="R253" i="1"/>
  <c r="Q253" i="1"/>
  <c r="P253" i="1"/>
  <c r="O253" i="1"/>
  <c r="L253" i="1"/>
  <c r="J253" i="1"/>
  <c r="D253" i="1"/>
  <c r="R252" i="1"/>
  <c r="Q252" i="1"/>
  <c r="P252" i="1"/>
  <c r="O252" i="1"/>
  <c r="N252" i="1"/>
  <c r="L252" i="1"/>
  <c r="J252" i="1"/>
  <c r="D252" i="1"/>
  <c r="R251" i="1"/>
  <c r="Q251" i="1"/>
  <c r="P251" i="1"/>
  <c r="O251" i="1"/>
  <c r="N251" i="1"/>
  <c r="L251" i="1"/>
  <c r="J251" i="1"/>
  <c r="D251" i="1"/>
  <c r="R250" i="1"/>
  <c r="Q250" i="1"/>
  <c r="P250" i="1"/>
  <c r="O250" i="1"/>
  <c r="N250" i="1"/>
  <c r="L250" i="1"/>
  <c r="J250" i="1"/>
  <c r="D250" i="1"/>
  <c r="R249" i="1"/>
  <c r="Q249" i="1"/>
  <c r="P249" i="1"/>
  <c r="O249" i="1"/>
  <c r="N249" i="1"/>
  <c r="L249" i="1"/>
  <c r="J249" i="1"/>
  <c r="D249" i="1"/>
  <c r="R248" i="1"/>
  <c r="Q248" i="1"/>
  <c r="P248" i="1"/>
  <c r="O248" i="1"/>
  <c r="N248" i="1"/>
  <c r="L248" i="1"/>
  <c r="J248" i="1"/>
  <c r="D248" i="1"/>
  <c r="R247" i="1"/>
  <c r="Q247" i="1"/>
  <c r="P247" i="1"/>
  <c r="O247" i="1"/>
  <c r="N247" i="1"/>
  <c r="L247" i="1"/>
  <c r="J247" i="1"/>
  <c r="D247" i="1"/>
  <c r="R246" i="1"/>
  <c r="Q246" i="1"/>
  <c r="P246" i="1"/>
  <c r="O246" i="1"/>
  <c r="N246" i="1"/>
  <c r="L246" i="1"/>
  <c r="J246" i="1"/>
  <c r="D246" i="1"/>
  <c r="R245" i="1"/>
  <c r="Q245" i="1"/>
  <c r="P245" i="1"/>
  <c r="O245" i="1"/>
  <c r="N245" i="1"/>
  <c r="L245" i="1"/>
  <c r="J245" i="1"/>
  <c r="D245" i="1"/>
  <c r="R244" i="1"/>
  <c r="Q244" i="1"/>
  <c r="P244" i="1"/>
  <c r="O244" i="1"/>
  <c r="N244" i="1"/>
  <c r="L244" i="1"/>
  <c r="J244" i="1"/>
  <c r="D244" i="1"/>
  <c r="R243" i="1"/>
  <c r="Q243" i="1"/>
  <c r="P243" i="1"/>
  <c r="O243" i="1"/>
  <c r="N243" i="1"/>
  <c r="L243" i="1"/>
  <c r="J243" i="1"/>
  <c r="D243" i="1"/>
  <c r="R242" i="1"/>
  <c r="Q242" i="1"/>
  <c r="P242" i="1"/>
  <c r="O242" i="1"/>
  <c r="N242" i="1"/>
  <c r="L242" i="1"/>
  <c r="J242" i="1"/>
  <c r="D242" i="1"/>
  <c r="R241" i="1"/>
  <c r="Q241" i="1"/>
  <c r="P241" i="1"/>
  <c r="O241" i="1"/>
  <c r="N241" i="1"/>
  <c r="L241" i="1"/>
  <c r="J241" i="1"/>
  <c r="D241" i="1"/>
  <c r="R240" i="1"/>
  <c r="Q240" i="1"/>
  <c r="P240" i="1"/>
  <c r="O240" i="1"/>
  <c r="N240" i="1"/>
  <c r="L240" i="1"/>
  <c r="J240" i="1"/>
  <c r="D240" i="1"/>
  <c r="R239" i="1"/>
  <c r="Q239" i="1"/>
  <c r="P239" i="1"/>
  <c r="O239" i="1"/>
  <c r="N239" i="1"/>
  <c r="L239" i="1"/>
  <c r="J239" i="1"/>
  <c r="D239" i="1"/>
  <c r="R238" i="1"/>
  <c r="Q238" i="1"/>
  <c r="P238" i="1"/>
  <c r="O238" i="1"/>
  <c r="N238" i="1"/>
  <c r="L238" i="1"/>
  <c r="J238" i="1"/>
  <c r="D238" i="1"/>
  <c r="R237" i="1"/>
  <c r="Q237" i="1"/>
  <c r="P237" i="1"/>
  <c r="O237" i="1"/>
  <c r="N237" i="1"/>
  <c r="L237" i="1"/>
  <c r="J237" i="1"/>
  <c r="D237" i="1"/>
  <c r="R236" i="1"/>
  <c r="Q236" i="1"/>
  <c r="P236" i="1"/>
  <c r="O236" i="1"/>
  <c r="N236" i="1"/>
  <c r="L236" i="1"/>
  <c r="J236" i="1"/>
  <c r="D236" i="1"/>
  <c r="R235" i="1"/>
  <c r="Q235" i="1"/>
  <c r="P235" i="1"/>
  <c r="O235" i="1"/>
  <c r="N235" i="1"/>
  <c r="L235" i="1"/>
  <c r="J235" i="1"/>
  <c r="D235" i="1"/>
  <c r="R234" i="1"/>
  <c r="Q234" i="1"/>
  <c r="P234" i="1"/>
  <c r="O234" i="1"/>
  <c r="N234" i="1"/>
  <c r="L234" i="1"/>
  <c r="J234" i="1"/>
  <c r="D234" i="1"/>
  <c r="R233" i="1"/>
  <c r="Q233" i="1"/>
  <c r="P233" i="1"/>
  <c r="O233" i="1"/>
  <c r="L233" i="1"/>
  <c r="J233" i="1"/>
  <c r="D233" i="1"/>
  <c r="R232" i="1"/>
  <c r="Q232" i="1"/>
  <c r="P232" i="1"/>
  <c r="O232" i="1"/>
  <c r="N232" i="1"/>
  <c r="L232" i="1"/>
  <c r="J232" i="1"/>
  <c r="D232" i="1"/>
  <c r="R231" i="1"/>
  <c r="Q231" i="1"/>
  <c r="P231" i="1"/>
  <c r="O231" i="1"/>
  <c r="N231" i="1"/>
  <c r="L231" i="1"/>
  <c r="J231" i="1"/>
  <c r="D231" i="1"/>
  <c r="R230" i="1"/>
  <c r="Q230" i="1"/>
  <c r="P230" i="1"/>
  <c r="O230" i="1"/>
  <c r="N230" i="1"/>
  <c r="L230" i="1"/>
  <c r="J230" i="1"/>
  <c r="D230" i="1"/>
  <c r="R229" i="1"/>
  <c r="Q229" i="1"/>
  <c r="P229" i="1"/>
  <c r="O229" i="1"/>
  <c r="N229" i="1"/>
  <c r="L229" i="1"/>
  <c r="J229" i="1"/>
  <c r="D229" i="1"/>
  <c r="R228" i="1"/>
  <c r="Q228" i="1"/>
  <c r="P228" i="1"/>
  <c r="O228" i="1"/>
  <c r="L228" i="1"/>
  <c r="J228" i="1"/>
  <c r="D228" i="1"/>
  <c r="R227" i="1"/>
  <c r="Q227" i="1"/>
  <c r="P227" i="1"/>
  <c r="O227" i="1"/>
  <c r="N227" i="1"/>
  <c r="L227" i="1"/>
  <c r="J227" i="1"/>
  <c r="D227" i="1"/>
  <c r="R226" i="1"/>
  <c r="Q226" i="1"/>
  <c r="P226" i="1"/>
  <c r="O226" i="1"/>
  <c r="L226" i="1"/>
  <c r="J226" i="1"/>
  <c r="D226" i="1"/>
  <c r="R225" i="1"/>
  <c r="Q225" i="1"/>
  <c r="P225" i="1"/>
  <c r="O225" i="1"/>
  <c r="N225" i="1"/>
  <c r="L225" i="1"/>
  <c r="J225" i="1"/>
  <c r="D225" i="1"/>
  <c r="R224" i="1"/>
  <c r="Q224" i="1"/>
  <c r="P224" i="1"/>
  <c r="O224" i="1"/>
  <c r="N224" i="1"/>
  <c r="L224" i="1"/>
  <c r="J224" i="1"/>
  <c r="D224" i="1"/>
  <c r="R223" i="1"/>
  <c r="Q223" i="1"/>
  <c r="P223" i="1"/>
  <c r="O223" i="1"/>
  <c r="N223" i="1"/>
  <c r="L223" i="1"/>
  <c r="J223" i="1"/>
  <c r="D223" i="1"/>
  <c r="R222" i="1"/>
  <c r="Q222" i="1"/>
  <c r="P222" i="1"/>
  <c r="O222" i="1"/>
  <c r="N222" i="1"/>
  <c r="L222" i="1"/>
  <c r="J222" i="1"/>
  <c r="D222" i="1"/>
  <c r="R221" i="1"/>
  <c r="Q221" i="1"/>
  <c r="P221" i="1"/>
  <c r="O221" i="1"/>
  <c r="N221" i="1"/>
  <c r="L221" i="1"/>
  <c r="J221" i="1"/>
  <c r="D221" i="1"/>
  <c r="R220" i="1"/>
  <c r="Q220" i="1"/>
  <c r="P220" i="1"/>
  <c r="O220" i="1"/>
  <c r="N220" i="1"/>
  <c r="L220" i="1"/>
  <c r="J220" i="1"/>
  <c r="D220" i="1"/>
  <c r="R219" i="1"/>
  <c r="Q219" i="1"/>
  <c r="P219" i="1"/>
  <c r="O219" i="1"/>
  <c r="N219" i="1"/>
  <c r="L219" i="1"/>
  <c r="J219" i="1"/>
  <c r="D219" i="1"/>
  <c r="R218" i="1"/>
  <c r="Q218" i="1"/>
  <c r="P218" i="1"/>
  <c r="O218" i="1"/>
  <c r="N218" i="1"/>
  <c r="L218" i="1"/>
  <c r="J218" i="1"/>
  <c r="D218" i="1"/>
  <c r="R217" i="1"/>
  <c r="Q217" i="1"/>
  <c r="P217" i="1"/>
  <c r="O217" i="1"/>
  <c r="N217" i="1"/>
  <c r="L217" i="1"/>
  <c r="J217" i="1"/>
  <c r="D217" i="1"/>
  <c r="R216" i="1"/>
  <c r="Q216" i="1"/>
  <c r="P216" i="1"/>
  <c r="O216" i="1"/>
  <c r="N216" i="1"/>
  <c r="L216" i="1"/>
  <c r="J216" i="1"/>
  <c r="D216" i="1"/>
  <c r="R215" i="1"/>
  <c r="Q215" i="1"/>
  <c r="P215" i="1"/>
  <c r="O215" i="1"/>
  <c r="N215" i="1"/>
  <c r="L215" i="1"/>
  <c r="J215" i="1"/>
  <c r="D215" i="1"/>
  <c r="R214" i="1"/>
  <c r="Q214" i="1"/>
  <c r="P214" i="1"/>
  <c r="O214" i="1"/>
  <c r="N214" i="1"/>
  <c r="L214" i="1"/>
  <c r="J214" i="1"/>
  <c r="D214" i="1"/>
  <c r="R213" i="1"/>
  <c r="Q213" i="1"/>
  <c r="P213" i="1"/>
  <c r="O213" i="1"/>
  <c r="N213" i="1"/>
  <c r="L213" i="1"/>
  <c r="J213" i="1"/>
  <c r="D213" i="1"/>
  <c r="R212" i="1"/>
  <c r="Q212" i="1"/>
  <c r="P212" i="1"/>
  <c r="O212" i="1"/>
  <c r="N212" i="1"/>
  <c r="L212" i="1"/>
  <c r="J212" i="1"/>
  <c r="D212" i="1"/>
  <c r="R211" i="1"/>
  <c r="Q211" i="1"/>
  <c r="P211" i="1"/>
  <c r="O211" i="1"/>
  <c r="L211" i="1"/>
  <c r="J211" i="1"/>
  <c r="D211" i="1"/>
  <c r="R210" i="1"/>
  <c r="Q210" i="1"/>
  <c r="P210" i="1"/>
  <c r="O210" i="1"/>
  <c r="N210" i="1"/>
  <c r="L210" i="1"/>
  <c r="J210" i="1"/>
  <c r="D210" i="1"/>
  <c r="R209" i="1"/>
  <c r="Q209" i="1"/>
  <c r="P209" i="1"/>
  <c r="O209" i="1"/>
  <c r="N209" i="1"/>
  <c r="L209" i="1"/>
  <c r="J209" i="1"/>
  <c r="D209" i="1"/>
  <c r="R208" i="1"/>
  <c r="Q208" i="1"/>
  <c r="P208" i="1"/>
  <c r="O208" i="1"/>
  <c r="L208" i="1"/>
  <c r="J208" i="1"/>
  <c r="D208" i="1"/>
  <c r="R207" i="1"/>
  <c r="Q207" i="1"/>
  <c r="P207" i="1"/>
  <c r="O207" i="1"/>
  <c r="L207" i="1"/>
  <c r="J207" i="1"/>
  <c r="D207" i="1"/>
  <c r="R206" i="1"/>
  <c r="Q206" i="1"/>
  <c r="P206" i="1"/>
  <c r="O206" i="1"/>
  <c r="N206" i="1"/>
  <c r="L206" i="1"/>
  <c r="J206" i="1"/>
  <c r="D206" i="1"/>
  <c r="R205" i="1"/>
  <c r="Q205" i="1"/>
  <c r="P205" i="1"/>
  <c r="O205" i="1"/>
  <c r="N205" i="1"/>
  <c r="L205" i="1"/>
  <c r="J205" i="1"/>
  <c r="D205" i="1"/>
  <c r="R204" i="1"/>
  <c r="Q204" i="1"/>
  <c r="P204" i="1"/>
  <c r="O204" i="1"/>
  <c r="N204" i="1"/>
  <c r="L204" i="1"/>
  <c r="J204" i="1"/>
  <c r="D204" i="1"/>
  <c r="R203" i="1"/>
  <c r="Q203" i="1"/>
  <c r="P203" i="1"/>
  <c r="O203" i="1"/>
  <c r="N203" i="1"/>
  <c r="L203" i="1"/>
  <c r="J203" i="1"/>
  <c r="D203" i="1"/>
  <c r="R202" i="1"/>
  <c r="Q202" i="1"/>
  <c r="P202" i="1"/>
  <c r="O202" i="1"/>
  <c r="N202" i="1"/>
  <c r="L202" i="1"/>
  <c r="J202" i="1"/>
  <c r="D202" i="1"/>
  <c r="R201" i="1"/>
  <c r="Q201" i="1"/>
  <c r="P201" i="1"/>
  <c r="O201" i="1"/>
  <c r="N201" i="1"/>
  <c r="L201" i="1"/>
  <c r="J201" i="1"/>
  <c r="D201" i="1"/>
  <c r="R200" i="1"/>
  <c r="Q200" i="1"/>
  <c r="P200" i="1"/>
  <c r="O200" i="1"/>
  <c r="N200" i="1"/>
  <c r="L200" i="1"/>
  <c r="J200" i="1"/>
  <c r="D200" i="1"/>
  <c r="R199" i="1"/>
  <c r="Q199" i="1"/>
  <c r="P199" i="1"/>
  <c r="O199" i="1"/>
  <c r="N199" i="1"/>
  <c r="L199" i="1"/>
  <c r="J199" i="1"/>
  <c r="D199" i="1"/>
  <c r="R198" i="1"/>
  <c r="Q198" i="1"/>
  <c r="P198" i="1"/>
  <c r="O198" i="1"/>
  <c r="N198" i="1"/>
  <c r="L198" i="1"/>
  <c r="J198" i="1"/>
  <c r="D198" i="1"/>
  <c r="R197" i="1"/>
  <c r="Q197" i="1"/>
  <c r="P197" i="1"/>
  <c r="O197" i="1"/>
  <c r="L197" i="1"/>
  <c r="J197" i="1"/>
  <c r="D197" i="1"/>
  <c r="R196" i="1"/>
  <c r="Q196" i="1"/>
  <c r="P196" i="1"/>
  <c r="O196" i="1"/>
  <c r="N196" i="1"/>
  <c r="L196" i="1"/>
  <c r="J196" i="1"/>
  <c r="D196" i="1"/>
  <c r="R195" i="1"/>
  <c r="Q195" i="1"/>
  <c r="P195" i="1"/>
  <c r="O195" i="1"/>
  <c r="N195" i="1"/>
  <c r="L195" i="1"/>
  <c r="J195" i="1"/>
  <c r="D195" i="1"/>
  <c r="R194" i="1"/>
  <c r="Q194" i="1"/>
  <c r="P194" i="1"/>
  <c r="O194" i="1"/>
  <c r="N194" i="1"/>
  <c r="L194" i="1"/>
  <c r="J194" i="1"/>
  <c r="D194" i="1"/>
  <c r="R193" i="1"/>
  <c r="Q193" i="1"/>
  <c r="P193" i="1"/>
  <c r="O193" i="1"/>
  <c r="N193" i="1"/>
  <c r="L193" i="1"/>
  <c r="J193" i="1"/>
  <c r="D193" i="1"/>
  <c r="R192" i="1"/>
  <c r="Q192" i="1"/>
  <c r="P192" i="1"/>
  <c r="O192" i="1"/>
  <c r="L192" i="1"/>
  <c r="J192" i="1"/>
  <c r="D192" i="1"/>
  <c r="R191" i="1"/>
  <c r="Q191" i="1"/>
  <c r="P191" i="1"/>
  <c r="O191" i="1"/>
  <c r="N191" i="1"/>
  <c r="L191" i="1"/>
  <c r="J191" i="1"/>
  <c r="D191" i="1"/>
  <c r="R190" i="1"/>
  <c r="Q190" i="1"/>
  <c r="P190" i="1"/>
  <c r="O190" i="1"/>
  <c r="N190" i="1"/>
  <c r="L190" i="1"/>
  <c r="J190" i="1"/>
  <c r="D190" i="1"/>
  <c r="R189" i="1"/>
  <c r="Q189" i="1"/>
  <c r="P189" i="1"/>
  <c r="O189" i="1"/>
  <c r="N189" i="1"/>
  <c r="L189" i="1"/>
  <c r="J189" i="1"/>
  <c r="D189" i="1"/>
  <c r="R188" i="1"/>
  <c r="Q188" i="1"/>
  <c r="P188" i="1"/>
  <c r="O188" i="1"/>
  <c r="N188" i="1"/>
  <c r="L188" i="1"/>
  <c r="J188" i="1"/>
  <c r="D188" i="1"/>
  <c r="R187" i="1"/>
  <c r="Q187" i="1"/>
  <c r="P187" i="1"/>
  <c r="O187" i="1"/>
  <c r="N187" i="1"/>
  <c r="L187" i="1"/>
  <c r="J187" i="1"/>
  <c r="D187" i="1"/>
  <c r="R186" i="1"/>
  <c r="Q186" i="1"/>
  <c r="P186" i="1"/>
  <c r="O186" i="1"/>
  <c r="N186" i="1"/>
  <c r="L186" i="1"/>
  <c r="D186" i="1"/>
  <c r="R185" i="1"/>
  <c r="Q185" i="1"/>
  <c r="P185" i="1"/>
  <c r="O185" i="1"/>
  <c r="N185" i="1"/>
  <c r="L185" i="1"/>
  <c r="J185" i="1"/>
  <c r="D185" i="1"/>
  <c r="R184" i="1"/>
  <c r="Q184" i="1"/>
  <c r="P184" i="1"/>
  <c r="O184" i="1"/>
  <c r="N184" i="1"/>
  <c r="L184" i="1"/>
  <c r="J184" i="1"/>
  <c r="D184" i="1"/>
  <c r="R183" i="1"/>
  <c r="Q183" i="1"/>
  <c r="P183" i="1"/>
  <c r="O183" i="1"/>
  <c r="N183" i="1"/>
  <c r="L183" i="1"/>
  <c r="J183" i="1"/>
  <c r="D183" i="1"/>
  <c r="R182" i="1"/>
  <c r="Q182" i="1"/>
  <c r="P182" i="1"/>
  <c r="O182" i="1"/>
  <c r="N182" i="1"/>
  <c r="L182" i="1"/>
  <c r="J182" i="1"/>
  <c r="D182" i="1"/>
  <c r="R181" i="1"/>
  <c r="Q181" i="1"/>
  <c r="P181" i="1"/>
  <c r="O181" i="1"/>
  <c r="N181" i="1"/>
  <c r="L181" i="1"/>
  <c r="J181" i="1"/>
  <c r="D181" i="1"/>
  <c r="R180" i="1"/>
  <c r="Q180" i="1"/>
  <c r="P180" i="1"/>
  <c r="O180" i="1"/>
  <c r="N180" i="1"/>
  <c r="L180" i="1"/>
  <c r="J180" i="1"/>
  <c r="D180" i="1"/>
  <c r="R179" i="1"/>
  <c r="Q179" i="1"/>
  <c r="P179" i="1"/>
  <c r="O179" i="1"/>
  <c r="L179" i="1"/>
  <c r="J179" i="1"/>
  <c r="D179" i="1"/>
  <c r="R178" i="1"/>
  <c r="Q178" i="1"/>
  <c r="P178" i="1"/>
  <c r="O178" i="1"/>
  <c r="N178" i="1"/>
  <c r="L178" i="1"/>
  <c r="J178" i="1"/>
  <c r="D178" i="1"/>
  <c r="R177" i="1"/>
  <c r="Q177" i="1"/>
  <c r="P177" i="1"/>
  <c r="O177" i="1"/>
  <c r="N177" i="1"/>
  <c r="L177" i="1"/>
  <c r="J177" i="1"/>
  <c r="D177" i="1"/>
  <c r="R176" i="1"/>
  <c r="Q176" i="1"/>
  <c r="P176" i="1"/>
  <c r="O176" i="1"/>
  <c r="N176" i="1"/>
  <c r="L176" i="1"/>
  <c r="J176" i="1"/>
  <c r="D176" i="1"/>
  <c r="R175" i="1"/>
  <c r="Q175" i="1"/>
  <c r="P175" i="1"/>
  <c r="O175" i="1"/>
  <c r="N175" i="1"/>
  <c r="L175" i="1"/>
  <c r="J175" i="1"/>
  <c r="D175" i="1"/>
  <c r="R174" i="1"/>
  <c r="Q174" i="1"/>
  <c r="P174" i="1"/>
  <c r="O174" i="1"/>
  <c r="N174" i="1"/>
  <c r="L174" i="1"/>
  <c r="J174" i="1"/>
  <c r="D174" i="1"/>
  <c r="R173" i="1"/>
  <c r="Q173" i="1"/>
  <c r="P173" i="1"/>
  <c r="O173" i="1"/>
  <c r="N173" i="1"/>
  <c r="L173" i="1"/>
  <c r="J173" i="1"/>
  <c r="D173" i="1"/>
  <c r="R172" i="1"/>
  <c r="Q172" i="1"/>
  <c r="P172" i="1"/>
  <c r="O172" i="1"/>
  <c r="N172" i="1"/>
  <c r="L172" i="1"/>
  <c r="J172" i="1"/>
  <c r="D172" i="1"/>
  <c r="R171" i="1"/>
  <c r="Q171" i="1"/>
  <c r="P171" i="1"/>
  <c r="O171" i="1"/>
  <c r="N171" i="1"/>
  <c r="L171" i="1"/>
  <c r="J171" i="1"/>
  <c r="D171" i="1"/>
  <c r="R170" i="1"/>
  <c r="Q170" i="1"/>
  <c r="P170" i="1"/>
  <c r="O170" i="1"/>
  <c r="N170" i="1"/>
  <c r="L170" i="1"/>
  <c r="J170" i="1"/>
  <c r="D170" i="1"/>
  <c r="R169" i="1"/>
  <c r="Q169" i="1"/>
  <c r="P169" i="1"/>
  <c r="O169" i="1"/>
  <c r="N169" i="1"/>
  <c r="L169" i="1"/>
  <c r="J169" i="1"/>
  <c r="D169" i="1"/>
  <c r="R168" i="1"/>
  <c r="Q168" i="1"/>
  <c r="P168" i="1"/>
  <c r="O168" i="1"/>
  <c r="N168" i="1"/>
  <c r="L168" i="1"/>
  <c r="J168" i="1"/>
  <c r="D168" i="1"/>
  <c r="R167" i="1"/>
  <c r="Q167" i="1"/>
  <c r="P167" i="1"/>
  <c r="O167" i="1"/>
  <c r="L167" i="1"/>
  <c r="J167" i="1"/>
  <c r="D167" i="1"/>
  <c r="R166" i="1"/>
  <c r="Q166" i="1"/>
  <c r="P166" i="1"/>
  <c r="O166" i="1"/>
  <c r="N166" i="1"/>
  <c r="L166" i="1"/>
  <c r="J166" i="1"/>
  <c r="D166" i="1"/>
  <c r="R165" i="1"/>
  <c r="Q165" i="1"/>
  <c r="P165" i="1"/>
  <c r="O165" i="1"/>
  <c r="N165" i="1"/>
  <c r="L165" i="1"/>
  <c r="J165" i="1"/>
  <c r="D165" i="1"/>
  <c r="R164" i="1"/>
  <c r="Q164" i="1"/>
  <c r="P164" i="1"/>
  <c r="O164" i="1"/>
  <c r="N164" i="1"/>
  <c r="L164" i="1"/>
  <c r="J164" i="1"/>
  <c r="D164" i="1"/>
  <c r="R163" i="1"/>
  <c r="Q163" i="1"/>
  <c r="P163" i="1"/>
  <c r="O163" i="1"/>
  <c r="L163" i="1"/>
  <c r="J163" i="1"/>
  <c r="D163" i="1"/>
  <c r="R162" i="1"/>
  <c r="Q162" i="1"/>
  <c r="P162" i="1"/>
  <c r="O162" i="1"/>
  <c r="N162" i="1"/>
  <c r="L162" i="1"/>
  <c r="J162" i="1"/>
  <c r="D162" i="1"/>
  <c r="R161" i="1"/>
  <c r="Q161" i="1"/>
  <c r="P161" i="1"/>
  <c r="O161" i="1"/>
  <c r="N161" i="1"/>
  <c r="L161" i="1"/>
  <c r="J161" i="1"/>
  <c r="D161" i="1"/>
  <c r="R160" i="1"/>
  <c r="Q160" i="1"/>
  <c r="P160" i="1"/>
  <c r="O160" i="1"/>
  <c r="N160" i="1"/>
  <c r="L160" i="1"/>
  <c r="J160" i="1"/>
  <c r="D160" i="1"/>
  <c r="R159" i="1"/>
  <c r="Q159" i="1"/>
  <c r="P159" i="1"/>
  <c r="O159" i="1"/>
  <c r="N159" i="1"/>
  <c r="L159" i="1"/>
  <c r="J159" i="1"/>
  <c r="D159" i="1"/>
  <c r="R158" i="1"/>
  <c r="Q158" i="1"/>
  <c r="P158" i="1"/>
  <c r="O158" i="1"/>
  <c r="L158" i="1"/>
  <c r="J158" i="1"/>
  <c r="D158" i="1"/>
  <c r="R157" i="1"/>
  <c r="Q157" i="1"/>
  <c r="P157" i="1"/>
  <c r="O157" i="1"/>
  <c r="L157" i="1"/>
  <c r="J157" i="1"/>
  <c r="D157" i="1"/>
  <c r="R156" i="1"/>
  <c r="Q156" i="1"/>
  <c r="P156" i="1"/>
  <c r="O156" i="1"/>
  <c r="N156" i="1"/>
  <c r="L156" i="1"/>
  <c r="J156" i="1"/>
  <c r="D156" i="1"/>
  <c r="R155" i="1"/>
  <c r="Q155" i="1"/>
  <c r="P155" i="1"/>
  <c r="O155" i="1"/>
  <c r="N155" i="1"/>
  <c r="L155" i="1"/>
  <c r="J155" i="1"/>
  <c r="D155" i="1"/>
  <c r="R154" i="1"/>
  <c r="Q154" i="1"/>
  <c r="P154" i="1"/>
  <c r="O154" i="1"/>
  <c r="L154" i="1"/>
  <c r="J154" i="1"/>
  <c r="D154" i="1"/>
  <c r="R153" i="1"/>
  <c r="Q153" i="1"/>
  <c r="P153" i="1"/>
  <c r="O153" i="1"/>
  <c r="N153" i="1"/>
  <c r="L153" i="1"/>
  <c r="J153" i="1"/>
  <c r="D153" i="1"/>
  <c r="R152" i="1"/>
  <c r="Q152" i="1"/>
  <c r="P152" i="1"/>
  <c r="O152" i="1"/>
  <c r="N152" i="1"/>
  <c r="L152" i="1"/>
  <c r="J152" i="1"/>
  <c r="D152" i="1"/>
  <c r="R151" i="1"/>
  <c r="Q151" i="1"/>
  <c r="P151" i="1"/>
  <c r="O151" i="1"/>
  <c r="N151" i="1"/>
  <c r="L151" i="1"/>
  <c r="J151" i="1"/>
  <c r="D151" i="1"/>
  <c r="R150" i="1"/>
  <c r="Q150" i="1"/>
  <c r="P150" i="1"/>
  <c r="O150" i="1"/>
  <c r="L150" i="1"/>
  <c r="J150" i="1"/>
  <c r="D150" i="1"/>
  <c r="R149" i="1"/>
  <c r="Q149" i="1"/>
  <c r="P149" i="1"/>
  <c r="O149" i="1"/>
  <c r="N149" i="1"/>
  <c r="L149" i="1"/>
  <c r="J149" i="1"/>
  <c r="D149" i="1"/>
  <c r="R148" i="1"/>
  <c r="Q148" i="1"/>
  <c r="P148" i="1"/>
  <c r="O148" i="1"/>
  <c r="N148" i="1"/>
  <c r="L148" i="1"/>
  <c r="J148" i="1"/>
  <c r="D148" i="1"/>
  <c r="R147" i="1"/>
  <c r="Q147" i="1"/>
  <c r="P147" i="1"/>
  <c r="O147" i="1"/>
  <c r="N147" i="1"/>
  <c r="L147" i="1"/>
  <c r="I89" i="6" s="1"/>
  <c r="J147" i="1"/>
  <c r="D147" i="1"/>
  <c r="R146" i="1"/>
  <c r="Q146" i="1"/>
  <c r="P146" i="1"/>
  <c r="O146" i="1"/>
  <c r="N146" i="1"/>
  <c r="L146" i="1"/>
  <c r="J146" i="1"/>
  <c r="D146" i="1"/>
  <c r="R145" i="1"/>
  <c r="Q145" i="1"/>
  <c r="P145" i="1"/>
  <c r="O145" i="1"/>
  <c r="N145" i="1"/>
  <c r="L145" i="1"/>
  <c r="J145" i="1"/>
  <c r="D145" i="1"/>
  <c r="R144" i="1"/>
  <c r="Q144" i="1"/>
  <c r="P144" i="1"/>
  <c r="O144" i="1"/>
  <c r="N144" i="1"/>
  <c r="L144" i="1"/>
  <c r="J144" i="1"/>
  <c r="D144" i="1"/>
  <c r="R143" i="1"/>
  <c r="Q143" i="1"/>
  <c r="P143" i="1"/>
  <c r="O143" i="1"/>
  <c r="L143" i="1"/>
  <c r="J143" i="1"/>
  <c r="D143" i="1"/>
  <c r="R142" i="1"/>
  <c r="Q142" i="1"/>
  <c r="P142" i="1"/>
  <c r="O142" i="1"/>
  <c r="N142" i="1"/>
  <c r="L142" i="1"/>
  <c r="J142" i="1"/>
  <c r="D142" i="1"/>
  <c r="R141" i="1"/>
  <c r="Q141" i="1"/>
  <c r="P141" i="1"/>
  <c r="O141" i="1"/>
  <c r="N141" i="1"/>
  <c r="L141" i="1"/>
  <c r="J141" i="1"/>
  <c r="D141" i="1"/>
  <c r="R140" i="1"/>
  <c r="Q140" i="1"/>
  <c r="P140" i="1"/>
  <c r="O140" i="1"/>
  <c r="L140" i="1"/>
  <c r="J140" i="1"/>
  <c r="D140" i="1"/>
  <c r="R139" i="1"/>
  <c r="Q139" i="1"/>
  <c r="P139" i="1"/>
  <c r="O139" i="1"/>
  <c r="N139" i="1"/>
  <c r="L139" i="1"/>
  <c r="J139" i="1"/>
  <c r="D139" i="1"/>
  <c r="R138" i="1"/>
  <c r="Q138" i="1"/>
  <c r="P138" i="1"/>
  <c r="O138" i="1"/>
  <c r="N138" i="1"/>
  <c r="L138" i="1"/>
  <c r="J138" i="1"/>
  <c r="D138" i="1"/>
  <c r="R137" i="1"/>
  <c r="Q137" i="1"/>
  <c r="P137" i="1"/>
  <c r="O137" i="1"/>
  <c r="N137" i="1"/>
  <c r="L137" i="1"/>
  <c r="J137" i="1"/>
  <c r="D137" i="1"/>
  <c r="R136" i="1"/>
  <c r="Q136" i="1"/>
  <c r="P136" i="1"/>
  <c r="O136" i="1"/>
  <c r="L136" i="1"/>
  <c r="J136" i="1"/>
  <c r="D136" i="1"/>
  <c r="R135" i="1"/>
  <c r="Q135" i="1"/>
  <c r="P135" i="1"/>
  <c r="O135" i="1"/>
  <c r="N135" i="1"/>
  <c r="L135" i="1"/>
  <c r="J135" i="1"/>
  <c r="D135" i="1"/>
  <c r="R134" i="1"/>
  <c r="Q134" i="1"/>
  <c r="P134" i="1"/>
  <c r="O134" i="1"/>
  <c r="N134" i="1"/>
  <c r="L134" i="1"/>
  <c r="J134" i="1"/>
  <c r="D134" i="1"/>
  <c r="R133" i="1"/>
  <c r="Q133" i="1"/>
  <c r="P133" i="1"/>
  <c r="O133" i="1"/>
  <c r="N133" i="1"/>
  <c r="L133" i="1"/>
  <c r="J133" i="1"/>
  <c r="D133" i="1"/>
  <c r="R132" i="1"/>
  <c r="Q132" i="1"/>
  <c r="P132" i="1"/>
  <c r="O132" i="1"/>
  <c r="N132" i="1"/>
  <c r="L132" i="1"/>
  <c r="J132" i="1"/>
  <c r="D132" i="1"/>
  <c r="R131" i="1"/>
  <c r="Q131" i="1"/>
  <c r="P131" i="1"/>
  <c r="O131" i="1"/>
  <c r="L131" i="1"/>
  <c r="J131" i="1"/>
  <c r="D131" i="1"/>
  <c r="R130" i="1"/>
  <c r="Q130" i="1"/>
  <c r="P130" i="1"/>
  <c r="O130" i="1"/>
  <c r="N130" i="1"/>
  <c r="L130" i="1"/>
  <c r="J130" i="1"/>
  <c r="D130" i="1"/>
  <c r="R129" i="1"/>
  <c r="Q129" i="1"/>
  <c r="P129" i="1"/>
  <c r="O129" i="1"/>
  <c r="N129" i="1"/>
  <c r="L129" i="1"/>
  <c r="J129" i="1"/>
  <c r="D129" i="1"/>
  <c r="R128" i="1"/>
  <c r="Q128" i="1"/>
  <c r="P128" i="1"/>
  <c r="O128" i="1"/>
  <c r="L128" i="1"/>
  <c r="J128" i="1"/>
  <c r="D128" i="1"/>
  <c r="R127" i="1"/>
  <c r="Q127" i="1"/>
  <c r="P127" i="1"/>
  <c r="O127" i="1"/>
  <c r="N127" i="1"/>
  <c r="L127" i="1"/>
  <c r="J127" i="1"/>
  <c r="D127" i="1"/>
  <c r="R126" i="1"/>
  <c r="Q126" i="1"/>
  <c r="P126" i="1"/>
  <c r="O126" i="1"/>
  <c r="L126" i="1"/>
  <c r="J126" i="1"/>
  <c r="D126" i="1"/>
  <c r="R125" i="1"/>
  <c r="Q125" i="1"/>
  <c r="P125" i="1"/>
  <c r="O125" i="1"/>
  <c r="J125" i="1"/>
  <c r="L125" i="1" s="1"/>
  <c r="D125" i="1"/>
  <c r="R124" i="1"/>
  <c r="Q124" i="1"/>
  <c r="P124" i="1"/>
  <c r="O124" i="1"/>
  <c r="J124" i="1"/>
  <c r="L124" i="1" s="1"/>
  <c r="D124" i="1"/>
  <c r="R123" i="1"/>
  <c r="Q123" i="1"/>
  <c r="P123" i="1"/>
  <c r="O123" i="1"/>
  <c r="N123" i="1"/>
  <c r="J123" i="1"/>
  <c r="D123" i="1"/>
  <c r="R122" i="1"/>
  <c r="Q122" i="1"/>
  <c r="P122" i="1"/>
  <c r="O122" i="1"/>
  <c r="N122" i="1"/>
  <c r="J122" i="1"/>
  <c r="D122" i="1"/>
  <c r="R121" i="1"/>
  <c r="Q121" i="1"/>
  <c r="P121" i="1"/>
  <c r="O121" i="1"/>
  <c r="N121" i="1"/>
  <c r="J121" i="1"/>
  <c r="D121" i="1"/>
  <c r="R120" i="1"/>
  <c r="Q120" i="1"/>
  <c r="P120" i="1"/>
  <c r="O120" i="1"/>
  <c r="J120" i="1"/>
  <c r="L120" i="1" s="1"/>
  <c r="D120" i="1"/>
  <c r="R118" i="1"/>
  <c r="Q118" i="1"/>
  <c r="P118" i="1"/>
  <c r="O118" i="1"/>
  <c r="N118" i="1"/>
  <c r="J118" i="1"/>
  <c r="D118" i="1"/>
  <c r="R119" i="1"/>
  <c r="Q119" i="1"/>
  <c r="P119" i="1"/>
  <c r="O119" i="1"/>
  <c r="N119" i="1"/>
  <c r="J119" i="1"/>
  <c r="D119" i="1"/>
  <c r="R115" i="1"/>
  <c r="Q115" i="1"/>
  <c r="P115" i="1"/>
  <c r="O115" i="1"/>
  <c r="J115" i="1"/>
  <c r="D115" i="1"/>
  <c r="R117" i="1"/>
  <c r="Q117" i="1"/>
  <c r="P117" i="1"/>
  <c r="O117" i="1"/>
  <c r="J117" i="1"/>
  <c r="D117" i="1"/>
  <c r="R114" i="1"/>
  <c r="Q114" i="1"/>
  <c r="P114" i="1"/>
  <c r="O114" i="1"/>
  <c r="J114" i="1"/>
  <c r="D114" i="1"/>
  <c r="R116" i="1"/>
  <c r="Q116" i="1"/>
  <c r="P116" i="1"/>
  <c r="O116" i="1"/>
  <c r="N116" i="1"/>
  <c r="J116" i="1"/>
  <c r="D116" i="1"/>
  <c r="R113" i="1"/>
  <c r="Q113" i="1"/>
  <c r="P113" i="1"/>
  <c r="O113" i="1"/>
  <c r="N113" i="1"/>
  <c r="J113" i="1"/>
  <c r="D113" i="1"/>
  <c r="R112" i="1"/>
  <c r="Q112" i="1"/>
  <c r="P112" i="1"/>
  <c r="O112" i="1"/>
  <c r="J112" i="1"/>
  <c r="L112" i="1" s="1"/>
  <c r="D112" i="1"/>
  <c r="R110" i="1"/>
  <c r="Q110" i="1"/>
  <c r="P110" i="1"/>
  <c r="O110" i="1"/>
  <c r="J110" i="1"/>
  <c r="D110" i="1"/>
  <c r="R111" i="1"/>
  <c r="Q111" i="1"/>
  <c r="P111" i="1"/>
  <c r="O111" i="1"/>
  <c r="N111" i="1"/>
  <c r="J111" i="1"/>
  <c r="D111" i="1"/>
  <c r="R109" i="1"/>
  <c r="Q109" i="1"/>
  <c r="P109" i="1"/>
  <c r="O109" i="1"/>
  <c r="N109" i="1"/>
  <c r="J109" i="1"/>
  <c r="D109" i="1"/>
  <c r="R108" i="1"/>
  <c r="Q108" i="1"/>
  <c r="P108" i="1"/>
  <c r="O108" i="1"/>
  <c r="N108" i="1"/>
  <c r="J108" i="1"/>
  <c r="D108" i="1"/>
  <c r="R107" i="1"/>
  <c r="Q107" i="1"/>
  <c r="P107" i="1"/>
  <c r="O107" i="1"/>
  <c r="N107" i="1"/>
  <c r="J107" i="1"/>
  <c r="D107" i="1"/>
  <c r="R106" i="1"/>
  <c r="Q106" i="1"/>
  <c r="P106" i="1"/>
  <c r="O106" i="1"/>
  <c r="N106" i="1"/>
  <c r="J106" i="1"/>
  <c r="D106" i="1"/>
  <c r="R105" i="1"/>
  <c r="Q105" i="1"/>
  <c r="P105" i="1"/>
  <c r="O105" i="1"/>
  <c r="J105" i="1"/>
  <c r="D105" i="1"/>
  <c r="R104" i="1"/>
  <c r="Q104" i="1"/>
  <c r="P104" i="1"/>
  <c r="O104" i="1"/>
  <c r="J104" i="1"/>
  <c r="D104" i="1"/>
  <c r="R102" i="1"/>
  <c r="Q102" i="1"/>
  <c r="P102" i="1"/>
  <c r="O102" i="1"/>
  <c r="N102" i="1"/>
  <c r="J102" i="1"/>
  <c r="D102" i="1"/>
  <c r="R101" i="1"/>
  <c r="Q101" i="1"/>
  <c r="P101" i="1"/>
  <c r="O101" i="1"/>
  <c r="N101" i="1"/>
  <c r="J101" i="1"/>
  <c r="D101" i="1"/>
  <c r="R100" i="1"/>
  <c r="Q100" i="1"/>
  <c r="P100" i="1"/>
  <c r="O100" i="1"/>
  <c r="N100" i="1"/>
  <c r="J100" i="1"/>
  <c r="D100" i="1"/>
  <c r="R103" i="1"/>
  <c r="Q103" i="1"/>
  <c r="P103" i="1"/>
  <c r="O103" i="1"/>
  <c r="J103" i="1"/>
  <c r="D103" i="1"/>
  <c r="R99" i="1"/>
  <c r="Q99" i="1"/>
  <c r="P99" i="1"/>
  <c r="O99" i="1"/>
  <c r="J99" i="1"/>
  <c r="D99" i="1"/>
  <c r="R98" i="1"/>
  <c r="Q98" i="1"/>
  <c r="P98" i="1"/>
  <c r="O98" i="1"/>
  <c r="J98" i="1"/>
  <c r="D98" i="1"/>
  <c r="AS3" i="1"/>
  <c r="AV3" i="1" s="1"/>
  <c r="AT2" i="1"/>
  <c r="G22" i="6" l="1"/>
  <c r="G75" i="3"/>
  <c r="I75" i="3"/>
  <c r="G46" i="6"/>
  <c r="G89" i="6"/>
  <c r="G18" i="6"/>
  <c r="I18" i="6"/>
  <c r="G90" i="6"/>
  <c r="I106" i="3"/>
  <c r="G169" i="3"/>
  <c r="G201" i="3"/>
  <c r="I169" i="3"/>
  <c r="I201" i="3"/>
  <c r="G163" i="3"/>
  <c r="I139" i="3"/>
  <c r="I41" i="3"/>
  <c r="I163" i="3"/>
  <c r="G25" i="3"/>
  <c r="G31" i="3"/>
  <c r="G106" i="3"/>
  <c r="I101" i="3"/>
  <c r="I25" i="3"/>
  <c r="I31" i="3"/>
  <c r="I46" i="6"/>
  <c r="I108" i="6"/>
  <c r="G142" i="3"/>
  <c r="G101" i="3"/>
  <c r="G151" i="3"/>
  <c r="I142" i="3"/>
  <c r="G140" i="3"/>
  <c r="G17" i="3"/>
  <c r="I140" i="3"/>
  <c r="G134" i="3"/>
  <c r="I134" i="3"/>
  <c r="I22" i="6"/>
  <c r="I104" i="6"/>
  <c r="G103" i="6"/>
  <c r="G108" i="6"/>
  <c r="I90" i="6"/>
  <c r="G102" i="3"/>
  <c r="G114" i="6"/>
  <c r="I92" i="6"/>
  <c r="G115" i="6"/>
  <c r="I103" i="6"/>
  <c r="G113" i="6"/>
  <c r="G92" i="6"/>
  <c r="G104" i="6"/>
  <c r="I115" i="6"/>
  <c r="I113" i="6"/>
  <c r="I41" i="6"/>
  <c r="I114" i="6"/>
  <c r="G85" i="6"/>
  <c r="G73" i="6"/>
  <c r="I73" i="6"/>
  <c r="G29" i="6"/>
  <c r="I29" i="6"/>
  <c r="G105" i="6"/>
  <c r="I102" i="3"/>
  <c r="L74" i="1"/>
  <c r="G73" i="3"/>
  <c r="G64" i="6"/>
  <c r="G41" i="6"/>
  <c r="G83" i="6"/>
  <c r="G91" i="6"/>
  <c r="G113" i="3"/>
  <c r="G41" i="3"/>
  <c r="I113" i="3"/>
  <c r="L68" i="1"/>
  <c r="I53" i="6" s="1"/>
  <c r="G117" i="3"/>
  <c r="G182" i="3"/>
  <c r="G139" i="3"/>
  <c r="I182" i="3"/>
  <c r="L65" i="1"/>
  <c r="L66" i="1"/>
  <c r="I28" i="3" s="1"/>
  <c r="L69" i="1"/>
  <c r="G193" i="3"/>
  <c r="G44" i="3"/>
  <c r="I44" i="3"/>
  <c r="G168" i="3"/>
  <c r="I94" i="3"/>
  <c r="I195" i="3"/>
  <c r="I39" i="3"/>
  <c r="G39" i="3"/>
  <c r="I72" i="3"/>
  <c r="I54" i="3"/>
  <c r="G158" i="3"/>
  <c r="I29" i="3"/>
  <c r="G188" i="3"/>
  <c r="L67" i="1"/>
  <c r="I188" i="3"/>
  <c r="G72" i="3"/>
  <c r="G94" i="3"/>
  <c r="G195" i="3"/>
  <c r="I37" i="3"/>
  <c r="G87" i="3"/>
  <c r="G155" i="3"/>
  <c r="I30" i="3"/>
  <c r="I125" i="3"/>
  <c r="G150" i="3"/>
  <c r="G24" i="3"/>
  <c r="G136" i="3"/>
  <c r="I136" i="3"/>
  <c r="I24" i="3"/>
  <c r="G30" i="3"/>
  <c r="G125" i="3"/>
  <c r="I83" i="3"/>
  <c r="G119" i="3"/>
  <c r="G37" i="3"/>
  <c r="AW2" i="1"/>
  <c r="AU2" i="1" s="1"/>
  <c r="AW3" i="1"/>
  <c r="G187" i="3"/>
  <c r="I187" i="3"/>
  <c r="I155" i="3"/>
  <c r="G96" i="3"/>
  <c r="G62" i="3"/>
  <c r="I186" i="3"/>
  <c r="I78" i="3"/>
  <c r="G83" i="3"/>
  <c r="G22" i="3"/>
  <c r="G177" i="3"/>
  <c r="I82" i="3"/>
  <c r="G186" i="3"/>
  <c r="G29" i="3"/>
  <c r="G164" i="3"/>
  <c r="G170" i="3"/>
  <c r="G199" i="3"/>
  <c r="G54" i="3"/>
  <c r="G86" i="3"/>
  <c r="I199" i="3"/>
  <c r="G78" i="3"/>
  <c r="I96" i="3"/>
  <c r="G52" i="3"/>
  <c r="I52" i="3"/>
  <c r="G82" i="3"/>
  <c r="G59" i="3"/>
  <c r="G194" i="3"/>
  <c r="G48" i="3"/>
  <c r="I59" i="3"/>
  <c r="I68" i="3"/>
  <c r="G53" i="3"/>
  <c r="G20" i="3"/>
  <c r="G129" i="3"/>
  <c r="I171" i="3"/>
  <c r="G105" i="3"/>
  <c r="G84" i="3"/>
  <c r="I53" i="3"/>
  <c r="G57" i="3"/>
  <c r="G144" i="3"/>
  <c r="I129" i="3"/>
  <c r="G104" i="3"/>
  <c r="G137" i="3"/>
  <c r="I170" i="3"/>
  <c r="I84" i="3"/>
  <c r="I57" i="3"/>
  <c r="I144" i="3"/>
  <c r="G85" i="3"/>
  <c r="G184" i="3"/>
  <c r="I85" i="3"/>
  <c r="G138" i="3"/>
  <c r="G70" i="3"/>
  <c r="G51" i="3"/>
  <c r="G112" i="3"/>
  <c r="G42" i="3"/>
  <c r="G154" i="3"/>
  <c r="G173" i="3"/>
  <c r="G121" i="3"/>
  <c r="G190" i="3"/>
  <c r="G47" i="3"/>
  <c r="G58" i="3"/>
  <c r="I112" i="3"/>
  <c r="G64" i="3"/>
  <c r="G174" i="3"/>
  <c r="I154" i="3"/>
  <c r="I173" i="3"/>
  <c r="G69" i="3"/>
  <c r="G183" i="3"/>
  <c r="G133" i="3"/>
  <c r="I47" i="3"/>
  <c r="G71" i="3"/>
  <c r="I64" i="3"/>
  <c r="I183" i="3"/>
  <c r="I174" i="3"/>
  <c r="I69" i="3"/>
  <c r="G99" i="3"/>
  <c r="G97" i="3"/>
  <c r="G28" i="3"/>
  <c r="I99" i="3"/>
  <c r="G149" i="3"/>
  <c r="G171" i="3"/>
  <c r="L87" i="1"/>
  <c r="I103" i="3" s="1"/>
  <c r="L95" i="1"/>
  <c r="L84" i="1"/>
  <c r="L75" i="1"/>
  <c r="I123" i="3" s="1"/>
  <c r="L81" i="1"/>
  <c r="G49" i="3"/>
  <c r="G57" i="6"/>
  <c r="G118" i="3"/>
  <c r="G68" i="3"/>
  <c r="G19" i="3"/>
  <c r="G13" i="6"/>
  <c r="G80" i="3"/>
  <c r="G96" i="6"/>
  <c r="G34" i="3"/>
  <c r="I107" i="6"/>
  <c r="I56" i="3"/>
  <c r="G52" i="6"/>
  <c r="G180" i="3"/>
  <c r="I148" i="3"/>
  <c r="G88" i="3"/>
  <c r="G21" i="6"/>
  <c r="G178" i="3"/>
  <c r="I28" i="6"/>
  <c r="I141" i="3"/>
  <c r="I106" i="6"/>
  <c r="G12" i="6"/>
  <c r="G122" i="3"/>
  <c r="I68" i="6"/>
  <c r="I133" i="3"/>
  <c r="G40" i="6"/>
  <c r="G161" i="3"/>
  <c r="I126" i="3"/>
  <c r="G47" i="6"/>
  <c r="G175" i="3"/>
  <c r="G88" i="6"/>
  <c r="G123" i="3"/>
  <c r="I59" i="6"/>
  <c r="I50" i="3"/>
  <c r="G74" i="3"/>
  <c r="G78" i="6"/>
  <c r="I96" i="6"/>
  <c r="G67" i="6"/>
  <c r="G120" i="3"/>
  <c r="I180" i="3"/>
  <c r="G17" i="6"/>
  <c r="G43" i="3"/>
  <c r="G36" i="6"/>
  <c r="G79" i="3"/>
  <c r="G31" i="6"/>
  <c r="G127" i="3"/>
  <c r="I178" i="3"/>
  <c r="G112" i="6"/>
  <c r="G131" i="3"/>
  <c r="G65" i="6"/>
  <c r="G35" i="3"/>
  <c r="G51" i="6"/>
  <c r="G26" i="3"/>
  <c r="I97" i="3"/>
  <c r="I197" i="3"/>
  <c r="G100" i="6"/>
  <c r="G197" i="3"/>
  <c r="L118" i="1"/>
  <c r="I89" i="3" s="1"/>
  <c r="G89" i="3"/>
  <c r="G116" i="3"/>
  <c r="G46" i="3"/>
  <c r="G23" i="6"/>
  <c r="I46" i="3"/>
  <c r="I32" i="6"/>
  <c r="I124" i="3"/>
  <c r="G110" i="6"/>
  <c r="G145" i="3"/>
  <c r="L107" i="1"/>
  <c r="G50" i="6"/>
  <c r="G90" i="3"/>
  <c r="G45" i="6"/>
  <c r="G23" i="3"/>
  <c r="G162" i="3"/>
  <c r="G93" i="6"/>
  <c r="G60" i="3"/>
  <c r="I88" i="6"/>
  <c r="G56" i="6"/>
  <c r="G143" i="3"/>
  <c r="I78" i="6"/>
  <c r="I74" i="3"/>
  <c r="I67" i="6"/>
  <c r="I17" i="6"/>
  <c r="I43" i="3"/>
  <c r="G24" i="6"/>
  <c r="G55" i="3"/>
  <c r="G45" i="3"/>
  <c r="I127" i="3"/>
  <c r="I112" i="6"/>
  <c r="I131" i="3"/>
  <c r="I65" i="6"/>
  <c r="I35" i="3"/>
  <c r="I51" i="6"/>
  <c r="G26" i="6"/>
  <c r="G65" i="3"/>
  <c r="G98" i="6"/>
  <c r="G128" i="3"/>
  <c r="I167" i="3"/>
  <c r="I118" i="3"/>
  <c r="G33" i="6"/>
  <c r="G167" i="3"/>
  <c r="G32" i="6"/>
  <c r="G124" i="3"/>
  <c r="G60" i="6"/>
  <c r="G38" i="3"/>
  <c r="I13" i="6"/>
  <c r="I80" i="3"/>
  <c r="G59" i="6"/>
  <c r="G50" i="3"/>
  <c r="I111" i="3"/>
  <c r="I101" i="6"/>
  <c r="G130" i="3"/>
  <c r="G39" i="6"/>
  <c r="L119" i="1"/>
  <c r="I22" i="3" s="1"/>
  <c r="G37" i="6"/>
  <c r="G109" i="3"/>
  <c r="G63" i="6"/>
  <c r="G21" i="3"/>
  <c r="I56" i="6"/>
  <c r="I143" i="3"/>
  <c r="G75" i="6"/>
  <c r="G81" i="3"/>
  <c r="G14" i="6"/>
  <c r="G15" i="3"/>
  <c r="G36" i="3"/>
  <c r="G38" i="6"/>
  <c r="G99" i="6"/>
  <c r="G33" i="3"/>
  <c r="I45" i="3"/>
  <c r="G94" i="6"/>
  <c r="G91" i="3"/>
  <c r="G111" i="6"/>
  <c r="G200" i="3"/>
  <c r="G62" i="6"/>
  <c r="G107" i="3"/>
  <c r="I26" i="6"/>
  <c r="G70" i="6"/>
  <c r="G27" i="3"/>
  <c r="I98" i="6"/>
  <c r="I128" i="3"/>
  <c r="G95" i="3"/>
  <c r="G72" i="6"/>
  <c r="G132" i="3"/>
  <c r="I100" i="3"/>
  <c r="G79" i="6"/>
  <c r="G100" i="3"/>
  <c r="I38" i="6"/>
  <c r="G95" i="6"/>
  <c r="G159" i="3"/>
  <c r="G87" i="6"/>
  <c r="G18" i="3"/>
  <c r="G34" i="6"/>
  <c r="G135" i="3"/>
  <c r="G55" i="6"/>
  <c r="G179" i="3"/>
  <c r="G15" i="6"/>
  <c r="G103" i="3"/>
  <c r="I99" i="6"/>
  <c r="I94" i="6"/>
  <c r="I91" i="3"/>
  <c r="I111" i="6"/>
  <c r="I200" i="3"/>
  <c r="G16" i="6"/>
  <c r="G166" i="3"/>
  <c r="I62" i="6"/>
  <c r="I107" i="3"/>
  <c r="I70" i="6"/>
  <c r="G48" i="6"/>
  <c r="G152" i="3"/>
  <c r="I95" i="3"/>
  <c r="I72" i="6"/>
  <c r="I132" i="3"/>
  <c r="I137" i="3"/>
  <c r="G110" i="3"/>
  <c r="G76" i="6"/>
  <c r="G115" i="3"/>
  <c r="I87" i="6"/>
  <c r="I18" i="3"/>
  <c r="G25" i="6"/>
  <c r="G185" i="3"/>
  <c r="I34" i="6"/>
  <c r="G20" i="6"/>
  <c r="G146" i="3"/>
  <c r="I55" i="6"/>
  <c r="I179" i="3"/>
  <c r="I15" i="6"/>
  <c r="G80" i="6"/>
  <c r="G76" i="3"/>
  <c r="G58" i="6"/>
  <c r="G77" i="3"/>
  <c r="G61" i="6"/>
  <c r="G108" i="3"/>
  <c r="G74" i="6"/>
  <c r="G66" i="3"/>
  <c r="I48" i="6"/>
  <c r="G84" i="6"/>
  <c r="G98" i="3"/>
  <c r="I181" i="3"/>
  <c r="G102" i="6"/>
  <c r="G181" i="3"/>
  <c r="G43" i="6"/>
  <c r="G157" i="3"/>
  <c r="G27" i="6"/>
  <c r="G172" i="3"/>
  <c r="G44" i="6"/>
  <c r="G176" i="3"/>
  <c r="G160" i="3"/>
  <c r="G54" i="6"/>
  <c r="I95" i="6"/>
  <c r="G97" i="6"/>
  <c r="G93" i="3"/>
  <c r="I76" i="6"/>
  <c r="I25" i="6"/>
  <c r="I20" i="6"/>
  <c r="G82" i="6"/>
  <c r="G153" i="3"/>
  <c r="I80" i="6"/>
  <c r="G71" i="6"/>
  <c r="G156" i="3"/>
  <c r="G81" i="6"/>
  <c r="G192" i="3"/>
  <c r="I58" i="6"/>
  <c r="I77" i="3"/>
  <c r="I108" i="3"/>
  <c r="G77" i="6"/>
  <c r="G147" i="3"/>
  <c r="I74" i="6"/>
  <c r="I66" i="3"/>
  <c r="G42" i="6"/>
  <c r="G67" i="3"/>
  <c r="G196" i="3"/>
  <c r="G66" i="6"/>
  <c r="G32" i="3"/>
  <c r="I70" i="3"/>
  <c r="I51" i="3"/>
  <c r="G114" i="3"/>
  <c r="G63" i="3"/>
  <c r="G19" i="6"/>
  <c r="L121" i="1"/>
  <c r="I196" i="3" s="1"/>
  <c r="G109" i="6"/>
  <c r="G40" i="3"/>
  <c r="I97" i="6"/>
  <c r="I93" i="3"/>
  <c r="G111" i="3"/>
  <c r="G107" i="6"/>
  <c r="G56" i="3"/>
  <c r="G86" i="6"/>
  <c r="G148" i="3"/>
  <c r="I82" i="6"/>
  <c r="I153" i="3"/>
  <c r="G30" i="6"/>
  <c r="G126" i="3"/>
  <c r="I156" i="3"/>
  <c r="G165" i="3"/>
  <c r="I192" i="3"/>
  <c r="G101" i="6"/>
  <c r="G61" i="3"/>
  <c r="G28" i="6"/>
  <c r="G141" i="3"/>
  <c r="G106" i="6"/>
  <c r="G198" i="3"/>
  <c r="I77" i="6"/>
  <c r="I147" i="3"/>
  <c r="I42" i="6"/>
  <c r="G191" i="3"/>
  <c r="G49" i="6"/>
  <c r="G68" i="6"/>
  <c r="G16" i="3"/>
  <c r="I66" i="6"/>
  <c r="I32" i="3"/>
  <c r="I121" i="3"/>
  <c r="I92" i="3"/>
  <c r="G92" i="3"/>
  <c r="L117" i="1"/>
  <c r="L122" i="1"/>
  <c r="I86" i="6" s="1"/>
  <c r="L113" i="1"/>
  <c r="I164" i="3" s="1"/>
  <c r="L123" i="1"/>
  <c r="I152" i="3" s="1"/>
  <c r="L108" i="1"/>
  <c r="I87" i="3" s="1"/>
  <c r="L98" i="1"/>
  <c r="L111" i="1"/>
  <c r="I149" i="3" s="1"/>
  <c r="L101" i="1"/>
  <c r="I24" i="6" s="1"/>
  <c r="L106" i="1"/>
  <c r="I177" i="3" s="1"/>
  <c r="L105" i="1"/>
  <c r="L109" i="1"/>
  <c r="I115" i="3" s="1"/>
  <c r="L115" i="1"/>
  <c r="L114" i="1"/>
  <c r="L99" i="1"/>
  <c r="I100" i="6" s="1"/>
  <c r="L102" i="1"/>
  <c r="I198" i="3" s="1"/>
  <c r="L116" i="1"/>
  <c r="I122" i="3" s="1"/>
  <c r="L103" i="1"/>
  <c r="L104" i="1"/>
  <c r="I61" i="6" s="1"/>
  <c r="L110" i="1"/>
  <c r="L100" i="1"/>
  <c r="I176" i="3" s="1"/>
  <c r="AS4" i="1"/>
  <c r="AT3" i="1"/>
  <c r="I146" i="3" l="1"/>
  <c r="I16" i="3"/>
  <c r="I36" i="6"/>
  <c r="I84" i="6"/>
  <c r="I85" i="6"/>
  <c r="I27" i="3"/>
  <c r="I44" i="6"/>
  <c r="I31" i="6"/>
  <c r="I15" i="3"/>
  <c r="I61" i="3"/>
  <c r="AA54" i="14"/>
  <c r="I26" i="3"/>
  <c r="I138" i="3"/>
  <c r="I34" i="3"/>
  <c r="I86" i="3"/>
  <c r="I105" i="3"/>
  <c r="I42" i="3"/>
  <c r="I17" i="3"/>
  <c r="I184" i="3"/>
  <c r="I20" i="3"/>
  <c r="I119" i="3"/>
  <c r="I117" i="3"/>
  <c r="I73" i="3"/>
  <c r="I48" i="3"/>
  <c r="I79" i="3"/>
  <c r="I12" i="6"/>
  <c r="I49" i="6"/>
  <c r="I83" i="6"/>
  <c r="I21" i="6"/>
  <c r="I81" i="6"/>
  <c r="AA30" i="14"/>
  <c r="I63" i="6"/>
  <c r="I71" i="6"/>
  <c r="I52" i="6"/>
  <c r="I75" i="6"/>
  <c r="I91" i="6"/>
  <c r="I30" i="6"/>
  <c r="I102" i="6"/>
  <c r="I79" i="6"/>
  <c r="I135" i="3"/>
  <c r="I76" i="3"/>
  <c r="I166" i="3"/>
  <c r="I81" i="3"/>
  <c r="I23" i="6"/>
  <c r="AA21" i="14"/>
  <c r="I165" i="3"/>
  <c r="I105" i="6"/>
  <c r="I16" i="6"/>
  <c r="I64" i="6"/>
  <c r="I14" i="6"/>
  <c r="I33" i="6"/>
  <c r="I57" i="6"/>
  <c r="AA3" i="14"/>
  <c r="AA47" i="14"/>
  <c r="AA41" i="14"/>
  <c r="AA82" i="14"/>
  <c r="I21" i="3"/>
  <c r="I104" i="3"/>
  <c r="I191" i="3"/>
  <c r="I33" i="3"/>
  <c r="I120" i="3"/>
  <c r="I194" i="3"/>
  <c r="AV4" i="1"/>
  <c r="I19" i="3"/>
  <c r="I49" i="3"/>
  <c r="AA59" i="14"/>
  <c r="AA58" i="14"/>
  <c r="AA40" i="14"/>
  <c r="AW4" i="1"/>
  <c r="AA63" i="14"/>
  <c r="AA13" i="14"/>
  <c r="AA31" i="14"/>
  <c r="AA74" i="14"/>
  <c r="AA14" i="14"/>
  <c r="AA71" i="14"/>
  <c r="AA19" i="14"/>
  <c r="AA64" i="14"/>
  <c r="AA45" i="14"/>
  <c r="AA28" i="14"/>
  <c r="I150" i="3"/>
  <c r="AA76" i="14"/>
  <c r="AA68" i="14"/>
  <c r="AA75" i="14"/>
  <c r="AA22" i="14"/>
  <c r="AA34" i="14"/>
  <c r="AA81" i="14"/>
  <c r="AA37" i="14"/>
  <c r="AA60" i="14"/>
  <c r="AA7" i="14"/>
  <c r="AA24" i="14"/>
  <c r="AA26" i="14"/>
  <c r="AA53" i="14"/>
  <c r="AA78" i="14"/>
  <c r="AA8" i="14"/>
  <c r="AA43" i="14"/>
  <c r="AA39" i="14"/>
  <c r="AA11" i="14"/>
  <c r="AA15" i="14"/>
  <c r="AA46" i="14"/>
  <c r="AA27" i="14"/>
  <c r="AA4" i="14"/>
  <c r="AA16" i="14"/>
  <c r="AA56" i="14"/>
  <c r="AA2" i="14"/>
  <c r="AA73" i="14"/>
  <c r="AA83" i="14"/>
  <c r="AA51" i="14"/>
  <c r="AA77" i="14"/>
  <c r="AA20" i="14"/>
  <c r="AA9" i="14"/>
  <c r="AA17" i="14"/>
  <c r="AA70" i="14"/>
  <c r="AA33" i="14"/>
  <c r="AA25" i="14"/>
  <c r="AA10" i="14"/>
  <c r="AA66" i="14"/>
  <c r="AA61" i="14"/>
  <c r="AA35" i="14"/>
  <c r="AA69" i="14"/>
  <c r="AA18" i="14"/>
  <c r="AA67" i="14"/>
  <c r="AA62" i="14"/>
  <c r="AA32" i="14"/>
  <c r="AA49" i="14"/>
  <c r="AA36" i="14"/>
  <c r="AA42" i="14"/>
  <c r="AA65" i="14"/>
  <c r="AA12" i="14"/>
  <c r="AA23" i="14"/>
  <c r="AA5" i="14"/>
  <c r="AA57" i="14"/>
  <c r="AA38" i="14"/>
  <c r="AA50" i="14"/>
  <c r="AA52" i="14"/>
  <c r="AA55" i="14"/>
  <c r="AA44" i="14"/>
  <c r="AA29" i="14"/>
  <c r="AA6" i="14"/>
  <c r="AA48" i="14"/>
  <c r="AA79" i="14"/>
  <c r="AA72" i="14"/>
  <c r="AA80" i="14"/>
  <c r="I98" i="3"/>
  <c r="I168" i="3"/>
  <c r="I36" i="3"/>
  <c r="I65" i="3"/>
  <c r="I159" i="3"/>
  <c r="I58" i="3"/>
  <c r="I71" i="3"/>
  <c r="I62" i="3"/>
  <c r="I158" i="3"/>
  <c r="I185" i="3"/>
  <c r="I190" i="3"/>
  <c r="I110" i="3"/>
  <c r="I116" i="3"/>
  <c r="I114" i="3"/>
  <c r="I43" i="6"/>
  <c r="I55" i="3"/>
  <c r="I157" i="3"/>
  <c r="I88" i="3"/>
  <c r="I67" i="3"/>
  <c r="I40" i="6"/>
  <c r="I161" i="3"/>
  <c r="I39" i="6"/>
  <c r="I130" i="3"/>
  <c r="I27" i="6"/>
  <c r="I172" i="3"/>
  <c r="I50" i="6"/>
  <c r="I90" i="3"/>
  <c r="I162" i="3"/>
  <c r="I45" i="6"/>
  <c r="I23" i="3"/>
  <c r="I54" i="6"/>
  <c r="I160" i="3"/>
  <c r="I60" i="6"/>
  <c r="I38" i="3"/>
  <c r="I109" i="6"/>
  <c r="I40" i="3"/>
  <c r="I93" i="6"/>
  <c r="I60" i="3"/>
  <c r="I47" i="6"/>
  <c r="I175" i="3"/>
  <c r="I37" i="6"/>
  <c r="I109" i="3"/>
  <c r="I19" i="6"/>
  <c r="I63" i="3"/>
  <c r="I110" i="6"/>
  <c r="I145" i="3"/>
  <c r="AU3" i="1"/>
  <c r="AT4" i="1"/>
  <c r="AS5" i="1"/>
  <c r="O69" i="6" l="1"/>
  <c r="O89" i="6"/>
  <c r="O116" i="6"/>
  <c r="O22" i="6"/>
  <c r="O29" i="6"/>
  <c r="O114" i="6"/>
  <c r="O73" i="6"/>
  <c r="O41" i="6"/>
  <c r="O115" i="6"/>
  <c r="O46" i="6"/>
  <c r="O104" i="6"/>
  <c r="O53" i="6"/>
  <c r="O85" i="6"/>
  <c r="O113" i="6"/>
  <c r="O92" i="6"/>
  <c r="O103" i="6"/>
  <c r="O83" i="6"/>
  <c r="O91" i="6"/>
  <c r="O18" i="6"/>
  <c r="O108" i="6"/>
  <c r="O35" i="6"/>
  <c r="AV5" i="1"/>
  <c r="AW5" i="1"/>
  <c r="O105" i="6"/>
  <c r="O64" i="6"/>
  <c r="O90" i="6"/>
  <c r="O57" i="6"/>
  <c r="O110" i="6"/>
  <c r="O17" i="6"/>
  <c r="O48" i="6"/>
  <c r="O100" i="6"/>
  <c r="O75" i="6"/>
  <c r="O88" i="6"/>
  <c r="O13" i="6"/>
  <c r="O21" i="6"/>
  <c r="O81" i="6"/>
  <c r="O31" i="6"/>
  <c r="O70" i="6"/>
  <c r="O12" i="6"/>
  <c r="O93" i="6"/>
  <c r="O30" i="6"/>
  <c r="O16" i="6"/>
  <c r="O60" i="6"/>
  <c r="O107" i="6"/>
  <c r="O34" i="6"/>
  <c r="O82" i="6"/>
  <c r="O112" i="6"/>
  <c r="O102" i="6"/>
  <c r="O49" i="6"/>
  <c r="O95" i="6"/>
  <c r="O50" i="6"/>
  <c r="O14" i="6"/>
  <c r="O19" i="6"/>
  <c r="O47" i="6"/>
  <c r="O38" i="6"/>
  <c r="O78" i="6"/>
  <c r="O76" i="6"/>
  <c r="O96" i="6"/>
  <c r="O25" i="6"/>
  <c r="O86" i="6"/>
  <c r="O26" i="6"/>
  <c r="O111" i="6"/>
  <c r="O36" i="6"/>
  <c r="O80" i="6"/>
  <c r="O54" i="6"/>
  <c r="O45" i="6"/>
  <c r="O67" i="6"/>
  <c r="O84" i="6"/>
  <c r="O99" i="6"/>
  <c r="O27" i="6"/>
  <c r="O20" i="6"/>
  <c r="O32" i="6"/>
  <c r="O28" i="6"/>
  <c r="O87" i="6"/>
  <c r="O65" i="6"/>
  <c r="O61" i="6"/>
  <c r="O51" i="6"/>
  <c r="O44" i="6"/>
  <c r="O62" i="6"/>
  <c r="O74" i="6"/>
  <c r="O68" i="6"/>
  <c r="O55" i="6"/>
  <c r="O71" i="6"/>
  <c r="O33" i="6"/>
  <c r="O56" i="6"/>
  <c r="O42" i="6"/>
  <c r="O72" i="6"/>
  <c r="O39" i="6"/>
  <c r="O37" i="6"/>
  <c r="O59" i="6"/>
  <c r="O58" i="6"/>
  <c r="O79" i="6"/>
  <c r="O109" i="6"/>
  <c r="O101" i="6"/>
  <c r="O77" i="6"/>
  <c r="O24" i="6"/>
  <c r="O63" i="6"/>
  <c r="O43" i="6"/>
  <c r="O94" i="6"/>
  <c r="O52" i="6"/>
  <c r="O106" i="6"/>
  <c r="O15" i="6"/>
  <c r="O66" i="6"/>
  <c r="O98" i="6"/>
  <c r="O23" i="6"/>
  <c r="O97" i="6"/>
  <c r="O40" i="6"/>
  <c r="AT5" i="1"/>
  <c r="AS6" i="1"/>
  <c r="AU4" i="1"/>
  <c r="AV6" i="1" l="1"/>
  <c r="AW6" i="1"/>
  <c r="AT6" i="1"/>
  <c r="AS7" i="1"/>
  <c r="AU5" i="1"/>
  <c r="AV7" i="1" l="1"/>
  <c r="AW7" i="1"/>
  <c r="AU6" i="1"/>
  <c r="AT7" i="1"/>
  <c r="AS8" i="1"/>
  <c r="AV8" i="1" l="1"/>
  <c r="AW8" i="1"/>
  <c r="AT8" i="1"/>
  <c r="AS9" i="1"/>
  <c r="AU7" i="1"/>
  <c r="AV9" i="1" l="1"/>
  <c r="AW9" i="1"/>
  <c r="AT9" i="1"/>
  <c r="AS10" i="1"/>
  <c r="AU8" i="1"/>
  <c r="AV10" i="1" l="1"/>
  <c r="AW10" i="1"/>
  <c r="AT10" i="1"/>
  <c r="AS11" i="1"/>
  <c r="AU9" i="1"/>
  <c r="AV11" i="1" l="1"/>
  <c r="AW11" i="1"/>
  <c r="AT11" i="1"/>
  <c r="AS12" i="1"/>
  <c r="AU10" i="1"/>
  <c r="AV12" i="1" l="1"/>
  <c r="AW12" i="1"/>
  <c r="AU11" i="1"/>
  <c r="AT12" i="1"/>
  <c r="AS13" i="1"/>
  <c r="AS14" i="1" s="1"/>
  <c r="AS15" i="1" l="1"/>
  <c r="AT14" i="1"/>
  <c r="AV14" i="1"/>
  <c r="AW14" i="1"/>
  <c r="AV13" i="1"/>
  <c r="AW13" i="1"/>
  <c r="AT13" i="1"/>
  <c r="AU12" i="1"/>
  <c r="AU14" i="1" l="1"/>
  <c r="AS16" i="1"/>
  <c r="AT15" i="1"/>
  <c r="AV15" i="1"/>
  <c r="AW15" i="1"/>
  <c r="AU13" i="1"/>
  <c r="AU15" i="1" l="1"/>
  <c r="AS17" i="1"/>
  <c r="AV16" i="1"/>
  <c r="AT16" i="1"/>
  <c r="AW16" i="1"/>
  <c r="C100" i="6"/>
  <c r="C51" i="3"/>
  <c r="C79" i="6"/>
  <c r="C175" i="3"/>
  <c r="C157" i="3"/>
  <c r="C105" i="3"/>
  <c r="C133" i="3"/>
  <c r="N95" i="1"/>
  <c r="N114" i="1"/>
  <c r="N68" i="1"/>
  <c r="C54" i="6"/>
  <c r="P54" i="6" s="1"/>
  <c r="N120" i="1"/>
  <c r="N67" i="1"/>
  <c r="N87" i="1"/>
  <c r="N124" i="1"/>
  <c r="N81" i="1"/>
  <c r="N110" i="1"/>
  <c r="N75" i="1"/>
  <c r="C19" i="6"/>
  <c r="P19" i="6" s="1"/>
  <c r="C33" i="6"/>
  <c r="C102" i="6"/>
  <c r="P102" i="6" s="1"/>
  <c r="C137" i="3"/>
  <c r="C47" i="6"/>
  <c r="N84" i="1"/>
  <c r="N74" i="1"/>
  <c r="C121" i="3"/>
  <c r="C160" i="3"/>
  <c r="C97" i="3"/>
  <c r="C100" i="3"/>
  <c r="C57" i="6"/>
  <c r="N71" i="1"/>
  <c r="N294" i="1"/>
  <c r="N104" i="1"/>
  <c r="N77" i="1"/>
  <c r="N140" i="1"/>
  <c r="N143" i="1"/>
  <c r="N82" i="1"/>
  <c r="N253" i="1"/>
  <c r="N105" i="1"/>
  <c r="N126" i="1"/>
  <c r="N228" i="1"/>
  <c r="N66" i="1"/>
  <c r="N208" i="1"/>
  <c r="N158" i="1"/>
  <c r="N99" i="1"/>
  <c r="N260" i="1"/>
  <c r="N179" i="1"/>
  <c r="N69" i="1"/>
  <c r="N197" i="1"/>
  <c r="N98" i="1"/>
  <c r="N128" i="1"/>
  <c r="N226" i="1"/>
  <c r="N207" i="1"/>
  <c r="N157" i="1"/>
  <c r="N79" i="1"/>
  <c r="N211" i="1"/>
  <c r="N233" i="1"/>
  <c r="N192" i="1"/>
  <c r="N73" i="1"/>
  <c r="N103" i="1"/>
  <c r="N131" i="1"/>
  <c r="N78" i="1"/>
  <c r="N154" i="1"/>
  <c r="N125" i="1"/>
  <c r="N163" i="1"/>
  <c r="N65" i="1"/>
  <c r="N115" i="1"/>
  <c r="N150" i="1"/>
  <c r="C110" i="3"/>
  <c r="C43" i="6"/>
  <c r="P43" i="6" s="1"/>
  <c r="N117" i="1"/>
  <c r="N167" i="1"/>
  <c r="N458" i="1"/>
  <c r="N70" i="1"/>
  <c r="N136" i="1"/>
  <c r="N423" i="1"/>
  <c r="C49" i="3"/>
  <c r="C63" i="3"/>
  <c r="C118" i="3"/>
  <c r="C167" i="3"/>
  <c r="C92" i="3"/>
  <c r="C70" i="3"/>
  <c r="C197" i="3"/>
  <c r="C181" i="3"/>
  <c r="N112" i="1"/>
  <c r="N72" i="1"/>
  <c r="N83" i="1"/>
  <c r="AU16" i="1" l="1"/>
  <c r="AS18" i="1"/>
  <c r="AV17" i="1"/>
  <c r="AT17" i="1"/>
  <c r="AW17" i="1"/>
  <c r="L189" i="3"/>
  <c r="A189" i="3" s="1"/>
  <c r="L69" i="6"/>
  <c r="L116" i="6"/>
  <c r="L89" i="6"/>
  <c r="L201" i="3"/>
  <c r="A201" i="3" s="1"/>
  <c r="L169" i="3"/>
  <c r="A169" i="3" s="1"/>
  <c r="L151" i="3"/>
  <c r="A151" i="3" s="1"/>
  <c r="L163" i="3"/>
  <c r="A163" i="3" s="1"/>
  <c r="L104" i="6"/>
  <c r="L53" i="6"/>
  <c r="L29" i="6"/>
  <c r="L115" i="6"/>
  <c r="L46" i="6"/>
  <c r="L73" i="6"/>
  <c r="L108" i="6"/>
  <c r="L22" i="6"/>
  <c r="L41" i="6"/>
  <c r="L18" i="6"/>
  <c r="L114" i="6"/>
  <c r="L92" i="6"/>
  <c r="L103" i="6"/>
  <c r="L83" i="6"/>
  <c r="L85" i="6"/>
  <c r="L91" i="6"/>
  <c r="L113" i="6"/>
  <c r="L35" i="6"/>
  <c r="L31" i="3"/>
  <c r="L41" i="3"/>
  <c r="L142" i="3"/>
  <c r="L73" i="3"/>
  <c r="L117" i="3"/>
  <c r="L139" i="3"/>
  <c r="L106" i="3"/>
  <c r="L102" i="3"/>
  <c r="L193" i="3"/>
  <c r="L140" i="3"/>
  <c r="L17" i="3"/>
  <c r="L134" i="3"/>
  <c r="L105" i="6"/>
  <c r="L25" i="3"/>
  <c r="L64" i="6"/>
  <c r="L90" i="6"/>
  <c r="L101" i="3"/>
  <c r="L182" i="3"/>
  <c r="M92" i="3"/>
  <c r="M100" i="3"/>
  <c r="M137" i="3"/>
  <c r="M118" i="3"/>
  <c r="M160" i="3"/>
  <c r="M121" i="3"/>
  <c r="M105" i="3"/>
  <c r="M181" i="3"/>
  <c r="M51" i="3"/>
  <c r="M57" i="6"/>
  <c r="P57" i="6"/>
  <c r="M100" i="6"/>
  <c r="P100" i="6"/>
  <c r="M47" i="6"/>
  <c r="P47" i="6"/>
  <c r="M79" i="6"/>
  <c r="P79" i="6"/>
  <c r="M33" i="6"/>
  <c r="P33" i="6"/>
  <c r="L113" i="3"/>
  <c r="M197" i="3"/>
  <c r="L171" i="3"/>
  <c r="L48" i="6"/>
  <c r="L43" i="6"/>
  <c r="L99" i="6"/>
  <c r="L40" i="6"/>
  <c r="L44" i="6"/>
  <c r="L77" i="6"/>
  <c r="L84" i="6"/>
  <c r="L38" i="6"/>
  <c r="L63" i="3"/>
  <c r="L94" i="6"/>
  <c r="L63" i="6"/>
  <c r="L72" i="6"/>
  <c r="L98" i="6"/>
  <c r="L102" i="6"/>
  <c r="L87" i="6"/>
  <c r="L61" i="6"/>
  <c r="L110" i="6"/>
  <c r="L19" i="6"/>
  <c r="L54" i="6"/>
  <c r="M43" i="6"/>
  <c r="L50" i="6"/>
  <c r="L26" i="6"/>
  <c r="L107" i="6"/>
  <c r="L175" i="3"/>
  <c r="L167" i="3"/>
  <c r="L97" i="3"/>
  <c r="A97" i="3" s="1"/>
  <c r="L49" i="3"/>
  <c r="L94" i="3"/>
  <c r="L121" i="3"/>
  <c r="L181" i="3"/>
  <c r="M49" i="3"/>
  <c r="L118" i="3"/>
  <c r="L157" i="3"/>
  <c r="L70" i="3"/>
  <c r="L133" i="3"/>
  <c r="L110" i="3"/>
  <c r="M167" i="3"/>
  <c r="M110" i="3"/>
  <c r="L28" i="6"/>
  <c r="L70" i="6"/>
  <c r="L51" i="6"/>
  <c r="L111" i="6"/>
  <c r="L30" i="6"/>
  <c r="L96" i="6"/>
  <c r="L24" i="6"/>
  <c r="L14" i="6"/>
  <c r="L34" i="6"/>
  <c r="L13" i="6"/>
  <c r="L78" i="6"/>
  <c r="L57" i="6"/>
  <c r="L18" i="3"/>
  <c r="M102" i="6"/>
  <c r="M19" i="6"/>
  <c r="M54" i="6"/>
  <c r="L158" i="3"/>
  <c r="L105" i="3"/>
  <c r="L44" i="3"/>
  <c r="M157" i="3"/>
  <c r="L168" i="3"/>
  <c r="L186" i="3"/>
  <c r="L92" i="3"/>
  <c r="L147" i="3"/>
  <c r="L69" i="3"/>
  <c r="L177" i="3"/>
  <c r="L100" i="3"/>
  <c r="L150" i="3"/>
  <c r="L192" i="3"/>
  <c r="L123" i="3"/>
  <c r="L88" i="3"/>
  <c r="L15" i="3"/>
  <c r="L91" i="3"/>
  <c r="L38" i="3"/>
  <c r="L179" i="3"/>
  <c r="L96" i="3"/>
  <c r="M175" i="3"/>
  <c r="L43" i="3"/>
  <c r="L47" i="3"/>
  <c r="A47" i="3" s="1"/>
  <c r="L141" i="3"/>
  <c r="L188" i="3"/>
  <c r="L74" i="3"/>
  <c r="L191" i="3"/>
  <c r="L148" i="3"/>
  <c r="L37" i="3"/>
  <c r="L93" i="3"/>
  <c r="L45" i="3"/>
  <c r="L20" i="3"/>
  <c r="L114" i="3"/>
  <c r="L166" i="3"/>
  <c r="L85" i="3"/>
  <c r="L56" i="3"/>
  <c r="L78" i="3"/>
  <c r="L48" i="3"/>
  <c r="L190" i="3"/>
  <c r="L125" i="3"/>
  <c r="M70" i="3"/>
  <c r="L88" i="6"/>
  <c r="L66" i="6"/>
  <c r="L112" i="6"/>
  <c r="L52" i="6"/>
  <c r="L32" i="6"/>
  <c r="L81" i="6"/>
  <c r="L21" i="6"/>
  <c r="L12" i="6"/>
  <c r="L27" i="6"/>
  <c r="L71" i="6"/>
  <c r="L58" i="3"/>
  <c r="L160" i="3"/>
  <c r="L30" i="3"/>
  <c r="L174" i="3"/>
  <c r="L67" i="3"/>
  <c r="L79" i="6"/>
  <c r="L81" i="3"/>
  <c r="L124" i="3"/>
  <c r="L98" i="3"/>
  <c r="L112" i="3"/>
  <c r="L27" i="3"/>
  <c r="L95" i="3"/>
  <c r="L127" i="3"/>
  <c r="L59" i="3"/>
  <c r="A59" i="3" s="1"/>
  <c r="L200" i="3"/>
  <c r="A200" i="3" s="1"/>
  <c r="L153" i="3"/>
  <c r="L152" i="3"/>
  <c r="L33" i="6"/>
  <c r="L137" i="3"/>
  <c r="L145" i="3"/>
  <c r="L34" i="3"/>
  <c r="L176" i="3"/>
  <c r="L68" i="3"/>
  <c r="L170" i="3"/>
  <c r="L173" i="3"/>
  <c r="L180" i="3"/>
  <c r="L111" i="3"/>
  <c r="L52" i="3"/>
  <c r="L79" i="3"/>
  <c r="L66" i="3"/>
  <c r="L84" i="3"/>
  <c r="L60" i="3"/>
  <c r="L51" i="3"/>
  <c r="L77" i="3"/>
  <c r="L100" i="6"/>
  <c r="L119" i="3"/>
  <c r="L165" i="3"/>
  <c r="L87" i="3"/>
  <c r="L35" i="3"/>
  <c r="L122" i="3"/>
  <c r="A122" i="3" s="1"/>
  <c r="L156" i="3"/>
  <c r="L39" i="3"/>
  <c r="L126" i="3"/>
  <c r="L80" i="6"/>
  <c r="L45" i="6"/>
  <c r="L109" i="6"/>
  <c r="L20" i="6"/>
  <c r="L75" i="6"/>
  <c r="L62" i="6"/>
  <c r="L97" i="6"/>
  <c r="L67" i="6"/>
  <c r="L22" i="3"/>
  <c r="L47" i="6"/>
  <c r="M97" i="3"/>
  <c r="L194" i="3"/>
  <c r="L99" i="3"/>
  <c r="L40" i="3"/>
  <c r="L144" i="3"/>
  <c r="L54" i="3"/>
  <c r="L178" i="3"/>
  <c r="L55" i="3"/>
  <c r="L155" i="3"/>
  <c r="L36" i="3"/>
  <c r="L195" i="3"/>
  <c r="L33" i="3"/>
  <c r="L42" i="6"/>
  <c r="L106" i="6"/>
  <c r="L93" i="6"/>
  <c r="L25" i="6"/>
  <c r="L55" i="6"/>
  <c r="L86" i="6"/>
  <c r="L82" i="6"/>
  <c r="L15" i="6"/>
  <c r="L39" i="6"/>
  <c r="L65" i="6"/>
  <c r="L199" i="3"/>
  <c r="L57" i="3"/>
  <c r="A57" i="3" s="1"/>
  <c r="L23" i="3"/>
  <c r="L83" i="3"/>
  <c r="L120" i="3"/>
  <c r="L107" i="3"/>
  <c r="L53" i="3"/>
  <c r="L62" i="3"/>
  <c r="L197" i="3"/>
  <c r="A197" i="3" s="1"/>
  <c r="L108" i="3"/>
  <c r="A108" i="3" s="1"/>
  <c r="L86" i="3"/>
  <c r="L42" i="3"/>
  <c r="L154" i="3"/>
  <c r="L61" i="3"/>
  <c r="L90" i="3"/>
  <c r="L80" i="3"/>
  <c r="L146" i="3"/>
  <c r="L187" i="3"/>
  <c r="L132" i="3"/>
  <c r="L109" i="3"/>
  <c r="L161" i="3"/>
  <c r="L172" i="3"/>
  <c r="L116" i="3"/>
  <c r="L164" i="3"/>
  <c r="L65" i="3"/>
  <c r="L162" i="3"/>
  <c r="L184" i="3"/>
  <c r="M63" i="3"/>
  <c r="L74" i="6"/>
  <c r="L16" i="6"/>
  <c r="L36" i="6"/>
  <c r="L95" i="6"/>
  <c r="L49" i="6"/>
  <c r="L17" i="6"/>
  <c r="L59" i="6"/>
  <c r="L101" i="6"/>
  <c r="L136" i="3"/>
  <c r="L185" i="3"/>
  <c r="L159" i="3"/>
  <c r="M133" i="3"/>
  <c r="L135" i="3"/>
  <c r="L89" i="3"/>
  <c r="L104" i="3"/>
  <c r="L75" i="3"/>
  <c r="L128" i="3"/>
  <c r="L50" i="3"/>
  <c r="L198" i="3"/>
  <c r="L72" i="3"/>
  <c r="L23" i="6"/>
  <c r="L76" i="6"/>
  <c r="L56" i="6"/>
  <c r="L68" i="6"/>
  <c r="L31" i="6"/>
  <c r="L37" i="6"/>
  <c r="L60" i="6"/>
  <c r="L58" i="6"/>
  <c r="L24" i="3"/>
  <c r="L76" i="3"/>
  <c r="L64" i="3"/>
  <c r="L129" i="3"/>
  <c r="L196" i="3"/>
  <c r="L21" i="3"/>
  <c r="L26" i="3"/>
  <c r="L82" i="3"/>
  <c r="L16" i="3"/>
  <c r="L19" i="3"/>
  <c r="L46" i="3"/>
  <c r="L29" i="3"/>
  <c r="L130" i="3"/>
  <c r="L131" i="3"/>
  <c r="L143" i="3"/>
  <c r="L28" i="3"/>
  <c r="L103" i="3"/>
  <c r="L149" i="3"/>
  <c r="L183" i="3"/>
  <c r="L32" i="3"/>
  <c r="L71" i="3"/>
  <c r="L115" i="3"/>
  <c r="L138" i="3"/>
  <c r="AU17" i="1" l="1"/>
  <c r="AV18" i="1"/>
  <c r="AT18" i="1"/>
  <c r="AW18" i="1"/>
  <c r="A164" i="3"/>
  <c r="A148" i="3"/>
  <c r="A118" i="3"/>
  <c r="A98" i="3"/>
  <c r="A68" i="3"/>
  <c r="A91" i="3"/>
  <c r="A26" i="3"/>
  <c r="A25" i="3"/>
  <c r="A191" i="3"/>
  <c r="A71" i="3"/>
  <c r="A60" i="3"/>
  <c r="A137" i="3"/>
  <c r="A65" i="3"/>
  <c r="A52" i="3"/>
  <c r="A64" i="3"/>
  <c r="A76" i="3"/>
  <c r="A34" i="3"/>
  <c r="A196" i="3"/>
  <c r="A109" i="3"/>
  <c r="A19" i="3"/>
  <c r="A179" i="3"/>
  <c r="A17" i="3"/>
  <c r="A31" i="3"/>
  <c r="A166" i="3"/>
  <c r="A28" i="3"/>
  <c r="A158" i="3"/>
  <c r="A72" i="3"/>
  <c r="A154" i="3"/>
  <c r="A62" i="3"/>
  <c r="A102" i="3"/>
  <c r="A86" i="3"/>
  <c r="A94" i="3"/>
  <c r="A15" i="3"/>
  <c r="A83" i="3"/>
  <c r="A80" i="3"/>
  <c r="A190" i="3"/>
  <c r="A135" i="3"/>
  <c r="A48" i="3"/>
  <c r="A126" i="3"/>
  <c r="A100" i="3"/>
  <c r="A63" i="3"/>
  <c r="A124" i="3"/>
  <c r="A180" i="3"/>
  <c r="A73" i="3"/>
  <c r="A40" i="3"/>
  <c r="A69" i="3"/>
  <c r="A183" i="3"/>
  <c r="A51" i="3"/>
  <c r="A67" i="3"/>
  <c r="A177" i="3"/>
  <c r="A32" i="3"/>
  <c r="A53" i="3"/>
  <c r="A149" i="3"/>
  <c r="A107" i="3"/>
  <c r="A20" i="3"/>
  <c r="A88" i="3"/>
  <c r="A27" i="3"/>
  <c r="A42" i="3"/>
  <c r="A186" i="3"/>
  <c r="A22" i="3"/>
  <c r="A35" i="3"/>
  <c r="A90" i="3"/>
  <c r="A49" i="3"/>
  <c r="A176" i="3"/>
  <c r="A127" i="3"/>
  <c r="A170" i="3"/>
  <c r="A82" i="3"/>
  <c r="A45" i="3"/>
  <c r="A117" i="3"/>
  <c r="A41" i="3"/>
  <c r="A132" i="3"/>
  <c r="A175" i="3"/>
  <c r="A112" i="3"/>
  <c r="A145" i="3"/>
  <c r="A155" i="3"/>
  <c r="A133" i="3"/>
  <c r="A114" i="3"/>
  <c r="A44" i="3"/>
  <c r="A181" i="3"/>
  <c r="A119" i="3"/>
  <c r="A173" i="3"/>
  <c r="A139" i="3"/>
  <c r="A96" i="3"/>
  <c r="A120" i="3"/>
  <c r="A110" i="3"/>
  <c r="A188" i="3"/>
  <c r="A79" i="3"/>
  <c r="A125" i="3"/>
  <c r="A84" i="3"/>
  <c r="A46" i="3"/>
  <c r="A128" i="3"/>
  <c r="A165" i="3"/>
  <c r="A87" i="3"/>
  <c r="A89" i="3"/>
  <c r="A77" i="3"/>
  <c r="A146" i="3"/>
  <c r="A178" i="3"/>
  <c r="A172" i="3"/>
  <c r="A106" i="3"/>
  <c r="A138" i="3"/>
  <c r="A58" i="3"/>
  <c r="A43" i="3"/>
  <c r="A61" i="3"/>
  <c r="A29" i="3"/>
  <c r="A123" i="3"/>
  <c r="A184" i="3"/>
  <c r="A33" i="3"/>
  <c r="A143" i="3"/>
  <c r="A70" i="3"/>
  <c r="A75" i="3"/>
  <c r="A95" i="3"/>
  <c r="A167" i="3"/>
  <c r="A55" i="3"/>
  <c r="A136" i="3"/>
  <c r="A192" i="3"/>
  <c r="A115" i="3"/>
  <c r="A85" i="3"/>
  <c r="A157" i="3"/>
  <c r="A161" i="3"/>
  <c r="A99" i="3"/>
  <c r="A18" i="3"/>
  <c r="A134" i="3"/>
  <c r="A147" i="3"/>
  <c r="A113" i="3"/>
  <c r="A185" i="3"/>
  <c r="A101" i="3"/>
  <c r="A153" i="3"/>
  <c r="A193" i="3"/>
  <c r="A182" i="3"/>
  <c r="A93" i="3"/>
  <c r="A142" i="3"/>
  <c r="A116" i="3"/>
  <c r="A78" i="3"/>
  <c r="A74" i="3"/>
  <c r="A30" i="3"/>
  <c r="A103" i="3"/>
  <c r="A162" i="3"/>
  <c r="A141" i="3"/>
  <c r="A54" i="3"/>
  <c r="A36" i="3"/>
  <c r="A92" i="3"/>
  <c r="A105" i="3"/>
  <c r="A199" i="3"/>
  <c r="A150" i="3"/>
  <c r="A24" i="3"/>
  <c r="A23" i="3"/>
  <c r="A187" i="3"/>
  <c r="A194" i="3"/>
  <c r="A111" i="3"/>
  <c r="A198" i="3"/>
  <c r="A104" i="3"/>
  <c r="A195" i="3"/>
  <c r="A168" i="3"/>
  <c r="A140" i="3"/>
  <c r="A16" i="3"/>
  <c r="A129" i="3"/>
  <c r="A66" i="3"/>
  <c r="A144" i="3"/>
  <c r="A131" i="3"/>
  <c r="A39" i="3"/>
  <c r="A174" i="3"/>
  <c r="A171" i="3"/>
  <c r="A130" i="3"/>
  <c r="A37" i="3"/>
  <c r="A81" i="3"/>
  <c r="A21" i="3"/>
  <c r="A159" i="3"/>
  <c r="A38" i="3"/>
  <c r="A50" i="3"/>
  <c r="A56" i="3"/>
  <c r="A156" i="3"/>
  <c r="A121" i="3"/>
  <c r="A160" i="3"/>
  <c r="A152" i="3"/>
  <c r="AU18" i="1" l="1"/>
  <c r="K218" i="5" l="1"/>
  <c r="L218" i="5"/>
  <c r="E218" i="5"/>
  <c r="U218" i="5" s="1"/>
  <c r="Q218" i="5" l="1"/>
  <c r="T218" i="5"/>
  <c r="N218" i="5"/>
  <c r="S218" i="5"/>
  <c r="O218" i="5"/>
  <c r="P218" i="5" l="1"/>
  <c r="L190" i="5" l="1"/>
  <c r="E190" i="5"/>
  <c r="O190" i="5" s="1"/>
  <c r="Q190" i="5" l="1"/>
  <c r="N190" i="5"/>
  <c r="P19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<sst xmlns="http://schemas.openxmlformats.org/spreadsheetml/2006/main" count="3575" uniqueCount="435">
  <si>
    <t>ÅR</t>
  </si>
  <si>
    <t>ANTAL SPELARE</t>
  </si>
  <si>
    <t>SNITTÅLDER</t>
  </si>
  <si>
    <t>ANTAL 100%</t>
  </si>
  <si>
    <t>SUMMA ÅR</t>
  </si>
  <si>
    <t>Namn</t>
  </si>
  <si>
    <t>MAT</t>
  </si>
  <si>
    <t>MAT %</t>
  </si>
  <si>
    <t>VAR</t>
  </si>
  <si>
    <t>UTV</t>
  </si>
  <si>
    <t>MÅL</t>
  </si>
  <si>
    <t>LAG MATCH</t>
  </si>
  <si>
    <t>MÅL/MATCH</t>
  </si>
  <si>
    <t>SENASTE</t>
  </si>
  <si>
    <t>FÖDD</t>
  </si>
  <si>
    <t>ÅLDER</t>
  </si>
  <si>
    <t>DIVISION</t>
  </si>
  <si>
    <t>A-LAGS MATCHER</t>
  </si>
  <si>
    <t>SÄSONGER</t>
  </si>
  <si>
    <t>MÅL TOTALT</t>
  </si>
  <si>
    <t>VAR TOTALT</t>
  </si>
  <si>
    <t>UTV TOTALT</t>
  </si>
  <si>
    <t>TOTALT</t>
  </si>
  <si>
    <t>TRUPP</t>
  </si>
  <si>
    <t>Maja Mondélus</t>
  </si>
  <si>
    <t>Olivia Wigdén</t>
  </si>
  <si>
    <t>Moa Vidjeskog</t>
  </si>
  <si>
    <t>Agnes Hammarlund</t>
  </si>
  <si>
    <t>Hanna Nilsson</t>
  </si>
  <si>
    <t>Ellen Elmvik</t>
  </si>
  <si>
    <t>Emma Selin</t>
  </si>
  <si>
    <t>Maria Schön</t>
  </si>
  <si>
    <t>Elin Sjöström</t>
  </si>
  <si>
    <t>Lovisa Svensson</t>
  </si>
  <si>
    <t>Josefine Mårtensson</t>
  </si>
  <si>
    <t>Elsa Nilsson</t>
  </si>
  <si>
    <t>Ella Andersson</t>
  </si>
  <si>
    <t>Sigrid Platoff</t>
  </si>
  <si>
    <t>Martha Sigefjord</t>
  </si>
  <si>
    <t>Alice Nordenberg</t>
  </si>
  <si>
    <t>Nicolina Nilsson</t>
  </si>
  <si>
    <t>Zoe Rosengren</t>
  </si>
  <si>
    <t>Astrid Reinholdsson</t>
  </si>
  <si>
    <t>Louise Jarl Bergqvist</t>
  </si>
  <si>
    <t>Nelli Olvegård</t>
  </si>
  <si>
    <t>Ebba Mathiasson</t>
  </si>
  <si>
    <t>Elin Johansson</t>
  </si>
  <si>
    <t>Emmie Jönsson</t>
  </si>
  <si>
    <t>Vilma Hansson</t>
  </si>
  <si>
    <t>Siri Bladh</t>
  </si>
  <si>
    <t>Matilda Ståhl</t>
  </si>
  <si>
    <t>Mimozë Bajrami</t>
  </si>
  <si>
    <t>Alva Ström</t>
  </si>
  <si>
    <t>Hanna Andersson</t>
  </si>
  <si>
    <t>Ida Nilsson</t>
  </si>
  <si>
    <t>Matilda Krüger</t>
  </si>
  <si>
    <t>Maja Elmvik</t>
  </si>
  <si>
    <t>Wilma Olsson</t>
  </si>
  <si>
    <t>Lovisa Kalling</t>
  </si>
  <si>
    <t>Ida Sandin</t>
  </si>
  <si>
    <t>Emmy Thyberg</t>
  </si>
  <si>
    <t>Elvira Gunnarsson</t>
  </si>
  <si>
    <t>Thilda Persson</t>
  </si>
  <si>
    <t>Milla Larsson</t>
  </si>
  <si>
    <t>Saga Jontoft</t>
  </si>
  <si>
    <t>Maja Strandqvist</t>
  </si>
  <si>
    <t>Frida Welinder</t>
  </si>
  <si>
    <t>Smilla Rhodin</t>
  </si>
  <si>
    <t>Ester Jepsson</t>
  </si>
  <si>
    <t>Matilda Andersson</t>
  </si>
  <si>
    <t>Amanda Rosengren</t>
  </si>
  <si>
    <t>Ida Carlsson</t>
  </si>
  <si>
    <t>Gabriella Gucci</t>
  </si>
  <si>
    <t>Hedda Hemborg</t>
  </si>
  <si>
    <t>Alice Lingstedt</t>
  </si>
  <si>
    <t>Anna Knutsson</t>
  </si>
  <si>
    <t>Malin Winberg</t>
  </si>
  <si>
    <t>Antonia Jalkinger</t>
  </si>
  <si>
    <t>Lykke Sjöstrand</t>
  </si>
  <si>
    <t>Linn Bergqvist</t>
  </si>
  <si>
    <t>Saga Alvesson</t>
  </si>
  <si>
    <t>Elsa Hjelm</t>
  </si>
  <si>
    <t>Zinett Fritzon</t>
  </si>
  <si>
    <t>Sofie Andersson</t>
  </si>
  <si>
    <t>Moa Johansson</t>
  </si>
  <si>
    <t>Ebba Axelsson</t>
  </si>
  <si>
    <t>Nellie Ek Håkansson</t>
  </si>
  <si>
    <t>Melissa Gojak</t>
  </si>
  <si>
    <t>Esmeralda Törnberg</t>
  </si>
  <si>
    <t>Gudlaug Rut Thorsdottir</t>
  </si>
  <si>
    <t>Amanda Berggren</t>
  </si>
  <si>
    <t>Ebba Ekbladh</t>
  </si>
  <si>
    <t>Elvira Ekbladh</t>
  </si>
  <si>
    <t>Alice Rosenkvist</t>
  </si>
  <si>
    <t>Bea Tornberg</t>
  </si>
  <si>
    <t>Molly Stjärnkvist</t>
  </si>
  <si>
    <t>Mette Johansson</t>
  </si>
  <si>
    <t>Annie Särnblad</t>
  </si>
  <si>
    <t>Emilia Petersson</t>
  </si>
  <si>
    <t>Estera Zientara</t>
  </si>
  <si>
    <t>Diellza Mustafa</t>
  </si>
  <si>
    <t>Wickie Velin Olsson</t>
  </si>
  <si>
    <t>Julia Fehne</t>
  </si>
  <si>
    <t>Isabell Antonsson</t>
  </si>
  <si>
    <t>Louise Berg</t>
  </si>
  <si>
    <t>Mikaela Ekberg</t>
  </si>
  <si>
    <t>Maja Olsson</t>
  </si>
  <si>
    <t>Louise Persson</t>
  </si>
  <si>
    <t>Wilma Palmblad</t>
  </si>
  <si>
    <t>Tina Rickardsson Lindau</t>
  </si>
  <si>
    <t>Sofia Fehne</t>
  </si>
  <si>
    <t>Tilda Josefsson</t>
  </si>
  <si>
    <t>Therese Engblom</t>
  </si>
  <si>
    <t>Frida Söderberg</t>
  </si>
  <si>
    <t>Desirée Tiittanen</t>
  </si>
  <si>
    <t>Elin Almroth</t>
  </si>
  <si>
    <t>Ida Trygg</t>
  </si>
  <si>
    <t>Amanda Wennström</t>
  </si>
  <si>
    <t>Maja Bergh</t>
  </si>
  <si>
    <t>Klara Persson</t>
  </si>
  <si>
    <t>Elin Johansson x</t>
  </si>
  <si>
    <t>Emma Grundtman</t>
  </si>
  <si>
    <t>Edona Karimani</t>
  </si>
  <si>
    <t>Tuva Sundell</t>
  </si>
  <si>
    <t>Vicky Sand</t>
  </si>
  <si>
    <t>Ida Lundin</t>
  </si>
  <si>
    <t>Moa Olsson</t>
  </si>
  <si>
    <t>Tova Jarl Bergqvist</t>
  </si>
  <si>
    <t>Tova Östlund</t>
  </si>
  <si>
    <t>Linnéa Elofsson</t>
  </si>
  <si>
    <t>Maja Nilsson</t>
  </si>
  <si>
    <t>Malin Pettersson</t>
  </si>
  <si>
    <t>Thea Lindell</t>
  </si>
  <si>
    <t>Ellen Elvstrand</t>
  </si>
  <si>
    <t>Elin Steen</t>
  </si>
  <si>
    <t>Hanna Nilsson 96</t>
  </si>
  <si>
    <t>Lina Mårtensson</t>
  </si>
  <si>
    <t>Matilda Andersson x</t>
  </si>
  <si>
    <t>Fanny Selin</t>
  </si>
  <si>
    <t>Isabelle Andersson</t>
  </si>
  <si>
    <t>Fanny Mathiasson</t>
  </si>
  <si>
    <t>Elin Kärrdahl</t>
  </si>
  <si>
    <t>Johanna Svensson</t>
  </si>
  <si>
    <t>Felicia Haglund</t>
  </si>
  <si>
    <t>Engla Björklund</t>
  </si>
  <si>
    <t>Ronja Åkesson</t>
  </si>
  <si>
    <t>Mira Olsson</t>
  </si>
  <si>
    <t>Kajsa Persson</t>
  </si>
  <si>
    <t>Elin Sundholm</t>
  </si>
  <si>
    <t>Agnes Andersson</t>
  </si>
  <si>
    <t>Moa Hansson</t>
  </si>
  <si>
    <t>Maja Johansson</t>
  </si>
  <si>
    <t>Emma Palmkvist</t>
  </si>
  <si>
    <t>Linnéa Lindén</t>
  </si>
  <si>
    <t>Sofia Fridén</t>
  </si>
  <si>
    <t>Alexandra Nilsson</t>
  </si>
  <si>
    <t>Cajsa Bruno</t>
  </si>
  <si>
    <t>Thea Hansson</t>
  </si>
  <si>
    <t>Henny Tillberg</t>
  </si>
  <si>
    <t>Titti Remelin</t>
  </si>
  <si>
    <t>Alma Boklund</t>
  </si>
  <si>
    <t>Isabella Reer</t>
  </si>
  <si>
    <t>Emma Åhlander</t>
  </si>
  <si>
    <t>Annie Elvstrand</t>
  </si>
  <si>
    <t>Alma Sigurdsson</t>
  </si>
  <si>
    <t>Michelle Franzén</t>
  </si>
  <si>
    <t>Majken Nilsson</t>
  </si>
  <si>
    <t>Louise Nilsson</t>
  </si>
  <si>
    <t>Sara Gustavsson</t>
  </si>
  <si>
    <t>Erika Eriksson</t>
  </si>
  <si>
    <t>Sofie Magnusson</t>
  </si>
  <si>
    <t>Alicia Harrysson</t>
  </si>
  <si>
    <t>Jessica Hejdesten</t>
  </si>
  <si>
    <t>Emelie Selfvén</t>
  </si>
  <si>
    <t>Emelie Fägersson</t>
  </si>
  <si>
    <t>Linnea Nilsson</t>
  </si>
  <si>
    <t>Gabriella Selind</t>
  </si>
  <si>
    <t>Ebba Svensson</t>
  </si>
  <si>
    <t>Johanna Selind</t>
  </si>
  <si>
    <t>Vicktoria Tullgren</t>
  </si>
  <si>
    <t>Nell Sjölin Jönsson</t>
  </si>
  <si>
    <t>Elin Persson</t>
  </si>
  <si>
    <t>Bea Hansson</t>
  </si>
  <si>
    <t>Emma Pramberg</t>
  </si>
  <si>
    <t>Li Svensson</t>
  </si>
  <si>
    <t>Maria Persson</t>
  </si>
  <si>
    <t>Johanna Stedt</t>
  </si>
  <si>
    <t>Maria Linnéa Lundström</t>
  </si>
  <si>
    <t>Ida Malmström</t>
  </si>
  <si>
    <t>Cia Svensson</t>
  </si>
  <si>
    <t>Rebecka Almquist</t>
  </si>
  <si>
    <t>Emelie Nilsson</t>
  </si>
  <si>
    <t>Amanda Olsson</t>
  </si>
  <si>
    <t>Sofia Persson</t>
  </si>
  <si>
    <t>Frida Andersson</t>
  </si>
  <si>
    <t>Fanny Henriksson</t>
  </si>
  <si>
    <t>Nellie Karlsson Rowley</t>
  </si>
  <si>
    <t>Lina Joelsson</t>
  </si>
  <si>
    <t>Hanna Persson</t>
  </si>
  <si>
    <t>Sara Nilsson</t>
  </si>
  <si>
    <t>Filippa Andersson</t>
  </si>
  <si>
    <t>Linda Beatrice Bondesson</t>
  </si>
  <si>
    <t>Annica Velin</t>
  </si>
  <si>
    <t>Marie Williamsson</t>
  </si>
  <si>
    <t>Pernilla Tillgren Andersson</t>
  </si>
  <si>
    <t>Frida Parkhagen</t>
  </si>
  <si>
    <t>Julia Molin</t>
  </si>
  <si>
    <t>Marika Sandberg</t>
  </si>
  <si>
    <t>Sarah Salihu</t>
  </si>
  <si>
    <t>,</t>
  </si>
  <si>
    <t>.</t>
  </si>
  <si>
    <t>SUMMA</t>
  </si>
  <si>
    <t>Formel1</t>
  </si>
  <si>
    <t>PL M</t>
  </si>
  <si>
    <t>SÄS</t>
  </si>
  <si>
    <t>RANK MÅL</t>
  </si>
  <si>
    <t>RANK VARN</t>
  </si>
  <si>
    <t>RANK MATCHER</t>
  </si>
  <si>
    <t>ANDEL MATCHER</t>
  </si>
  <si>
    <t>ANTAL MATCHER</t>
  </si>
  <si>
    <t>FP</t>
  </si>
  <si>
    <t>100% Säsong</t>
  </si>
  <si>
    <t>DIV 1</t>
  </si>
  <si>
    <t>DIV 2</t>
  </si>
  <si>
    <t>DIV 3</t>
  </si>
  <si>
    <t>DIV 4</t>
  </si>
  <si>
    <t>Summa av MÅL</t>
  </si>
  <si>
    <t>DIV</t>
  </si>
  <si>
    <t>ANTAL SÄSONGER</t>
  </si>
  <si>
    <t>RANK ÅLDER</t>
  </si>
  <si>
    <t>OMG</t>
  </si>
  <si>
    <t>HL M</t>
  </si>
  <si>
    <t>BL M</t>
  </si>
  <si>
    <t>ÅHUS MS</t>
  </si>
  <si>
    <t>VINSTSVIT</t>
  </si>
  <si>
    <t>ÅHUS MÅL</t>
  </si>
  <si>
    <t>V</t>
  </si>
  <si>
    <t>O</t>
  </si>
  <si>
    <t>F</t>
  </si>
  <si>
    <t>ANTAL MATCHER GM MÅL</t>
  </si>
  <si>
    <t>% MAT M GM</t>
  </si>
  <si>
    <t>MS</t>
  </si>
  <si>
    <t>MS/MATCH</t>
  </si>
  <si>
    <t>V%</t>
  </si>
  <si>
    <t>O%</t>
  </si>
  <si>
    <t>F%</t>
  </si>
  <si>
    <t>LAG</t>
  </si>
  <si>
    <t>GM</t>
  </si>
  <si>
    <t>IM</t>
  </si>
  <si>
    <t>MOTSTÅNDARE</t>
  </si>
  <si>
    <t>ÅHUS MATCHER</t>
  </si>
  <si>
    <t>MS ÅHUS IF</t>
  </si>
  <si>
    <t>MS2</t>
  </si>
  <si>
    <t>Sjöbo IF</t>
  </si>
  <si>
    <t>Åhus IF</t>
  </si>
  <si>
    <t>Gualövs GOIF</t>
  </si>
  <si>
    <t>IFK Osby</t>
  </si>
  <si>
    <t>Gärds Köpinge IF</t>
  </si>
  <si>
    <t>Wä IF</t>
  </si>
  <si>
    <t>Everöds IF</t>
  </si>
  <si>
    <t>Hörby FF</t>
  </si>
  <si>
    <t>Önnestad BoIF</t>
  </si>
  <si>
    <t>Gärsnäs AIS</t>
  </si>
  <si>
    <t>Lunds SK</t>
  </si>
  <si>
    <t>Köpingebro IF</t>
  </si>
  <si>
    <t>Degeberga GoIF</t>
  </si>
  <si>
    <t>Bjärnums GoIF</t>
  </si>
  <si>
    <t>Sibbhults IF</t>
  </si>
  <si>
    <t>Vittsjö DFK</t>
  </si>
  <si>
    <t>Farstorps GoIF</t>
  </si>
  <si>
    <t>Ifö Bromölla IF</t>
  </si>
  <si>
    <t>Hästveda IF</t>
  </si>
  <si>
    <t>Hammenhögs IF</t>
  </si>
  <si>
    <t>Fortuna FF</t>
  </si>
  <si>
    <t>FC Hessleholm</t>
  </si>
  <si>
    <t>Näsums IF</t>
  </si>
  <si>
    <t>Ljungby IF</t>
  </si>
  <si>
    <t>Tyringe IF</t>
  </si>
  <si>
    <t>Furulunds IK</t>
  </si>
  <si>
    <t>Janstorps AIF</t>
  </si>
  <si>
    <t>Ramdala IF</t>
  </si>
  <si>
    <t>Ängelholms FF</t>
  </si>
  <si>
    <t>Spjutstorps IF</t>
  </si>
  <si>
    <t>Vinslövs IF</t>
  </si>
  <si>
    <t>FC Staffanstorp</t>
  </si>
  <si>
    <t>Ystads IF FF</t>
  </si>
  <si>
    <t>Uppåkra IF</t>
  </si>
  <si>
    <t>DFF Kristianstadstjejerna</t>
  </si>
  <si>
    <t>Södra Sandby IF</t>
  </si>
  <si>
    <t>Ovesholms IF</t>
  </si>
  <si>
    <t>Eskilsminne DFF</t>
  </si>
  <si>
    <t>Lönsboda GoIF</t>
  </si>
  <si>
    <t>IFK Karlshamn</t>
  </si>
  <si>
    <t>Stehags AIF</t>
  </si>
  <si>
    <t>DFK Borgeby 09</t>
  </si>
  <si>
    <t>Treby IF</t>
  </si>
  <si>
    <t>Broby IF</t>
  </si>
  <si>
    <t>Sösdala IF</t>
  </si>
  <si>
    <t>Emmaboda IS</t>
  </si>
  <si>
    <t>Dalby GIF/Genarp/Staffanstorp</t>
  </si>
  <si>
    <t>Lörby IF</t>
  </si>
  <si>
    <t>Röke IF</t>
  </si>
  <si>
    <t>Glumslövs FF</t>
  </si>
  <si>
    <t>Vittskövle IF</t>
  </si>
  <si>
    <t>Team Södermöre</t>
  </si>
  <si>
    <t>BK Union</t>
  </si>
  <si>
    <t>Lönsboda GoIF/Treby IF</t>
  </si>
  <si>
    <t>Skurups AIF</t>
  </si>
  <si>
    <t>Växjö BK</t>
  </si>
  <si>
    <t>Kullabygdens DFF</t>
  </si>
  <si>
    <t>Edenryds IF</t>
  </si>
  <si>
    <t>Lilla Torg FF</t>
  </si>
  <si>
    <t>IFK Trelleborg FK</t>
  </si>
  <si>
    <t>Hanaskogs IS/Bjärlövs IF</t>
  </si>
  <si>
    <t>Östanå Bruks IF</t>
  </si>
  <si>
    <t>Nävlinge IF/Vinslövs IF</t>
  </si>
  <si>
    <t>Karlskrona FF</t>
  </si>
  <si>
    <t>Hanaskogs IS/IFK Knislinge</t>
  </si>
  <si>
    <t>Nävlinge IF</t>
  </si>
  <si>
    <t>Västra Karups IF</t>
  </si>
  <si>
    <t>Helsingborgs IF</t>
  </si>
  <si>
    <t>Dösjöbro IF</t>
  </si>
  <si>
    <t>Ronneby BK</t>
  </si>
  <si>
    <t>Färjestadens GOIF</t>
  </si>
  <si>
    <t>Hittarps IK</t>
  </si>
  <si>
    <t>Vellinge IF</t>
  </si>
  <si>
    <t>Laholms FK</t>
  </si>
  <si>
    <t>Nättraby GoIF</t>
  </si>
  <si>
    <t>Hjärsås/Värestorps IF</t>
  </si>
  <si>
    <t>Sjöstaden DFF Karlskrona</t>
  </si>
  <si>
    <t>Borgeby FK</t>
  </si>
  <si>
    <t>Älmhults IF</t>
  </si>
  <si>
    <t>Malmö FF</t>
  </si>
  <si>
    <t>Eskilsminne IF</t>
  </si>
  <si>
    <t>Trelleborgs FF</t>
  </si>
  <si>
    <t>DM</t>
  </si>
  <si>
    <t>Torns IF</t>
  </si>
  <si>
    <t>FC Rosengård</t>
  </si>
  <si>
    <t>Kval 1</t>
  </si>
  <si>
    <t>0</t>
  </si>
  <si>
    <t>6</t>
  </si>
  <si>
    <t>4</t>
  </si>
  <si>
    <t>2</t>
  </si>
  <si>
    <t>1</t>
  </si>
  <si>
    <t>3</t>
  </si>
  <si>
    <t>Tingsryd United</t>
  </si>
  <si>
    <t>Veberöds AIF</t>
  </si>
  <si>
    <t>Lagans AIK</t>
  </si>
  <si>
    <t>Tingsryd United FC</t>
  </si>
  <si>
    <t>Fortuna IF</t>
  </si>
  <si>
    <t>Höörs IS</t>
  </si>
  <si>
    <t>S</t>
  </si>
  <si>
    <t>P</t>
  </si>
  <si>
    <t>GM/M</t>
  </si>
  <si>
    <t>IM/M</t>
  </si>
  <si>
    <t>MS/M</t>
  </si>
  <si>
    <t>P/M</t>
  </si>
  <si>
    <t>DIV 3 NORRA</t>
  </si>
  <si>
    <t>Glimåkra IF</t>
  </si>
  <si>
    <t>IK Wormo</t>
  </si>
  <si>
    <t>Råå IF</t>
  </si>
  <si>
    <t>DIV 3 ÖSTRA</t>
  </si>
  <si>
    <t>DIV 4 NORDÖSTRA</t>
  </si>
  <si>
    <t>Dalby GIF/ Genarp/ Staffan</t>
  </si>
  <si>
    <t>Hanaskogs IS/ Bjärlövs IF</t>
  </si>
  <si>
    <t>Nävlinge IF/ Vinslövs IF</t>
  </si>
  <si>
    <t>Hjärsås/ Värestorps IF</t>
  </si>
  <si>
    <t>DIV 3 NORDÖSTRA</t>
  </si>
  <si>
    <t>Hanaskogs IS/IFK Knisl</t>
  </si>
  <si>
    <t xml:space="preserve">Lönsboda GoIF/Treby </t>
  </si>
  <si>
    <t>DIV 2 SÖDRA GÖTALAND</t>
  </si>
  <si>
    <t>DIV 1 SÖDRA GÖTALAND</t>
  </si>
  <si>
    <t>DIV 2 SYDÖSTRA GÖTALAND</t>
  </si>
  <si>
    <t>DIV 2 SYDVÄSTRA GÖTALAND</t>
  </si>
  <si>
    <t>Eskilsminne FF</t>
  </si>
  <si>
    <t>Sjöstaden DFF</t>
  </si>
  <si>
    <t>DIV 4 NORDÖSTRA SKÅNE</t>
  </si>
  <si>
    <t>PLAC</t>
  </si>
  <si>
    <t>ANTAL</t>
  </si>
  <si>
    <t>RANK MAT</t>
  </si>
  <si>
    <t>RANK GK</t>
  </si>
  <si>
    <t>SENAST</t>
  </si>
  <si>
    <t>SERIE</t>
  </si>
  <si>
    <t>Lily Nilsson</t>
  </si>
  <si>
    <t>(tom)</t>
  </si>
  <si>
    <t>Totalsumma</t>
  </si>
  <si>
    <t>Radetiketter</t>
  </si>
  <si>
    <t>Svensköps IF</t>
  </si>
  <si>
    <t>RANK SÄSONGER</t>
  </si>
  <si>
    <t>X</t>
  </si>
  <si>
    <t>100% SÄS</t>
  </si>
  <si>
    <t>ANDEL 100%</t>
  </si>
  <si>
    <t>Balsby SK</t>
  </si>
  <si>
    <t>Div 4 MELLERSTA SKÅNE</t>
  </si>
  <si>
    <t>Summa av MAT</t>
  </si>
  <si>
    <t>MÅL DIV 1</t>
  </si>
  <si>
    <t>MÅL DIV 2</t>
  </si>
  <si>
    <t>MÅL DIV 3</t>
  </si>
  <si>
    <t>MÅL DIV 4</t>
  </si>
  <si>
    <t>Rinkaby GOIF</t>
  </si>
  <si>
    <t>Vanneberga IF</t>
  </si>
  <si>
    <t>Vinnö IF</t>
  </si>
  <si>
    <t>KDFF IF</t>
  </si>
  <si>
    <t>Askeröds IF</t>
  </si>
  <si>
    <t>Rinkaby IF</t>
  </si>
  <si>
    <t>Kristianstads DFF</t>
  </si>
  <si>
    <t>DATUM</t>
  </si>
  <si>
    <t>HEMMALAG</t>
  </si>
  <si>
    <t>BORTALAG</t>
  </si>
  <si>
    <t>Ebba Mohlin</t>
  </si>
  <si>
    <t>ÅLDER MÅL</t>
  </si>
  <si>
    <t>MÅL PER ÅR</t>
  </si>
  <si>
    <t>Summa</t>
  </si>
  <si>
    <t>MS/ PER MATCH</t>
  </si>
  <si>
    <t>V H</t>
  </si>
  <si>
    <t>O H</t>
  </si>
  <si>
    <t>F H</t>
  </si>
  <si>
    <t>V B</t>
  </si>
  <si>
    <t>O B</t>
  </si>
  <si>
    <t>F B</t>
  </si>
  <si>
    <t>VINST</t>
  </si>
  <si>
    <t>OAVGJORT</t>
  </si>
  <si>
    <t>FÖRLUST</t>
  </si>
  <si>
    <t>POÄNG</t>
  </si>
  <si>
    <t>POÄNG / MATCH</t>
  </si>
  <si>
    <t>Antal av Namn</t>
  </si>
  <si>
    <t>ANTAL PER SÄSONG</t>
  </si>
  <si>
    <t>ANTAL MÅL PER ÅLDER</t>
  </si>
  <si>
    <t>ANTAL MÅL PER SÄSONG OCH ÅLDER</t>
  </si>
  <si>
    <t>ANTAL SPELARE PER SÄSONG OCH ÅLDER</t>
  </si>
  <si>
    <t>ANTAL MATCHER PER SÄSONG OCH ÅLDER</t>
  </si>
  <si>
    <t>YNGSTA MÅLSKYTTARNA ÅHUS IF</t>
  </si>
  <si>
    <t>YNGSTA SPELARNA ÅHUS IF</t>
  </si>
  <si>
    <t>ÄLDSTA MÅLSKYTTARNA ÅHUS IF</t>
  </si>
  <si>
    <t>ÄLDSTA SPELARNA ÅHUS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</si>
</sst>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yyyy;@"/>
    <numFmt numFmtId="166" formatCode="yy/mm/dd;@"/>
    <numFmt numFmtId="167" formatCode="0_ ;[Red]\-0\ "/>
    <numFmt numFmtId="168" formatCode="0.00_ ;[Red]\-0.00\ "/>
    <numFmt numFmtId="169" formatCode="0.0_ ;[Red]\-0.0\ "/>
    <numFmt numFmtId="170" formatCode="#,##0_ ;[Red]\-#,##0\ "/>
    <numFmt numFmtId="171" formatCode="#,##0.0_ ;[Red]\-#,##0.0\ "/>
    <numFmt numFmtId="172" formatCode="0.0_ ;\-0.0\ "/>
  </numFmts>
  <fonts count="19" x14ac:knownFonts="1">
    <font>
      <sz val="8"/>
      <color theme="1"/>
      <name val="Calibri Light"/>
      <family val="2"/>
    </font>
    <font>
      <sz val="8"/>
      <color theme="1"/>
      <name val="Calibri Light"/>
      <family val="2"/>
    </font>
    <font>
      <sz val="8"/>
      <name val="Calibri Light"/>
      <family val="2"/>
    </font>
    <font>
      <sz val="8"/>
      <color theme="1"/>
      <name val="Kigelia"/>
      <family val="2"/>
    </font>
    <font>
      <b/>
      <sz val="8"/>
      <color theme="0"/>
      <name val="Kigelia"/>
      <family val="2"/>
    </font>
    <font>
      <sz val="8"/>
      <color theme="0"/>
      <name val="Kigelia"/>
      <family val="2"/>
    </font>
    <font>
      <sz val="8"/>
      <color rgb="FF000000"/>
      <name val="Kigelia"/>
      <family val="2"/>
    </font>
    <font>
      <sz val="8"/>
      <color rgb="FF585858"/>
      <name val="Kigelia"/>
      <family val="2"/>
    </font>
    <font>
      <b/>
      <sz val="8"/>
      <color rgb="FF000000"/>
      <name val="Kigelia"/>
      <family val="2"/>
    </font>
    <font>
      <b/>
      <sz val="8"/>
      <color rgb="FF585858"/>
      <name val="Kigelia"/>
      <family val="2"/>
    </font>
    <font>
      <b/>
      <sz val="8"/>
      <color rgb="FFFF0000"/>
      <name val="Kigelia"/>
      <family val="2"/>
    </font>
    <font>
      <sz val="8"/>
      <color rgb="FFFF0000"/>
      <name val="Kigelia"/>
      <family val="2"/>
    </font>
    <font>
      <sz val="8"/>
      <name val="Kigelia"/>
      <family val="2"/>
    </font>
    <font>
      <b/>
      <sz val="8"/>
      <color theme="1"/>
      <name val="Kigelia"/>
      <family val="2"/>
    </font>
    <font>
      <sz val="8"/>
      <color theme="1"/>
      <name val="Aptos Light"/>
      <family val="2"/>
    </font>
    <font>
      <sz val="8"/>
      <color rgb="FF050505"/>
      <name val="Aptos Light"/>
      <family val="2"/>
    </font>
    <font>
      <b/>
      <sz val="48"/>
      <color theme="0"/>
      <name val="Aptos Light"/>
      <family val="2"/>
    </font>
    <font>
      <b/>
      <sz val="8"/>
      <color theme="1"/>
      <name val="Aptos Light"/>
      <family val="2"/>
    </font>
    <font>
      <sz val="20"/>
      <color theme="0"/>
      <name val="Aptos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rgb="FF375623"/>
      </bottom>
      <diagonal/>
    </border>
    <border>
      <left/>
      <right style="thin">
        <color rgb="FF375623"/>
      </right>
      <top/>
      <bottom style="thin">
        <color rgb="FF375623"/>
      </bottom>
      <diagonal/>
    </border>
    <border>
      <left style="thin">
        <color rgb="FF375623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thin">
        <color rgb="FF375623"/>
      </left>
      <right style="thin">
        <color rgb="FF375623"/>
      </right>
      <top/>
      <bottom/>
      <diagonal/>
    </border>
    <border>
      <left style="thin">
        <color rgb="FF375623"/>
      </left>
      <right style="thin">
        <color rgb="FF375623"/>
      </right>
      <top style="thin">
        <color rgb="FF375623"/>
      </top>
      <bottom/>
      <diagonal/>
    </border>
    <border>
      <left style="thin">
        <color rgb="FF375623"/>
      </left>
      <right style="thin">
        <color rgb="FF375623"/>
      </right>
      <top/>
      <bottom style="thin">
        <color rgb="FF375623"/>
      </bottom>
      <diagonal/>
    </border>
    <border>
      <left/>
      <right/>
      <top style="thin">
        <color rgb="FF375623"/>
      </top>
      <bottom/>
      <diagonal/>
    </border>
    <border>
      <left/>
      <right/>
      <top style="thin">
        <color rgb="FF375623"/>
      </top>
      <bottom style="thin">
        <color rgb="FF375623"/>
      </bottom>
      <diagonal/>
    </border>
    <border>
      <left style="thin">
        <color rgb="FF375623"/>
      </left>
      <right/>
      <top style="thin">
        <color rgb="FF375623"/>
      </top>
      <bottom/>
      <diagonal/>
    </border>
    <border>
      <left style="thin">
        <color rgb="FF375623"/>
      </left>
      <right/>
      <top/>
      <bottom/>
      <diagonal/>
    </border>
    <border>
      <left style="thin">
        <color rgb="FF375623"/>
      </left>
      <right/>
      <top/>
      <bottom style="thin">
        <color rgb="FF37562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  <xf numFmtId="9" fontId="0" fillId="0" borderId="0" xfId="1" applyFont="1" applyAlignment="1">
      <alignment horizontal="center"/>
    </xf>
    <xf numFmtId="0" fontId="0" fillId="0" borderId="0" xfId="0" applyAlignment="1">
      <alignment vertical="top" wrapText="1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0" fontId="0" fillId="8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9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textRotation="90" wrapText="1"/>
    </xf>
    <xf numFmtId="9" fontId="4" fillId="2" borderId="2" xfId="1" applyFont="1" applyFill="1" applyBorder="1" applyAlignment="1">
      <alignment horizontal="center" textRotation="90" wrapText="1"/>
    </xf>
    <xf numFmtId="0" fontId="4" fillId="2" borderId="3" xfId="0" applyFont="1" applyFill="1" applyBorder="1" applyAlignment="1">
      <alignment horizontal="center" textRotation="90" wrapText="1"/>
    </xf>
    <xf numFmtId="9" fontId="4" fillId="2" borderId="0" xfId="1" applyFont="1" applyFill="1" applyAlignment="1">
      <alignment horizontal="center" textRotation="90" wrapText="1"/>
    </xf>
    <xf numFmtId="2" fontId="4" fillId="2" borderId="0" xfId="1" applyNumberFormat="1" applyFont="1" applyFill="1" applyAlignment="1">
      <alignment horizontal="center" textRotation="90" wrapText="1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9" fontId="4" fillId="2" borderId="0" xfId="1" applyFont="1" applyFill="1" applyAlignment="1">
      <alignment textRotation="90" wrapText="1"/>
    </xf>
    <xf numFmtId="0" fontId="0" fillId="0" borderId="0" xfId="0" applyAlignment="1">
      <alignment horizontal="center" textRotation="90" wrapText="1"/>
    </xf>
    <xf numFmtId="9" fontId="0" fillId="0" borderId="0" xfId="1" applyFont="1" applyAlignment="1">
      <alignment horizontal="center" textRotation="90" wrapText="1"/>
    </xf>
    <xf numFmtId="0" fontId="0" fillId="0" borderId="0" xfId="0" applyAlignment="1">
      <alignment textRotation="90" wrapText="1"/>
    </xf>
    <xf numFmtId="0" fontId="0" fillId="0" borderId="0" xfId="0" pivotButton="1"/>
    <xf numFmtId="0" fontId="0" fillId="0" borderId="0" xfId="0" pivotButton="1" applyAlignment="1">
      <alignment horizontal="center"/>
    </xf>
    <xf numFmtId="0" fontId="6" fillId="0" borderId="4" xfId="0" applyFont="1" applyBorder="1" applyAlignment="1">
      <alignment horizontal="left" readingOrder="1"/>
    </xf>
    <xf numFmtId="0" fontId="6" fillId="0" borderId="4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left" readingOrder="1"/>
    </xf>
    <xf numFmtId="0" fontId="4" fillId="4" borderId="6" xfId="0" applyFont="1" applyFill="1" applyBorder="1" applyAlignment="1">
      <alignment horizontal="center" vertical="center" readingOrder="1"/>
    </xf>
    <xf numFmtId="0" fontId="6" fillId="0" borderId="7" xfId="0" applyFont="1" applyBorder="1" applyAlignment="1">
      <alignment horizontal="left" readingOrder="1"/>
    </xf>
    <xf numFmtId="0" fontId="6" fillId="0" borderId="6" xfId="0" applyFont="1" applyBorder="1" applyAlignment="1">
      <alignment horizontal="center" vertical="center" readingOrder="1"/>
    </xf>
    <xf numFmtId="0" fontId="6" fillId="0" borderId="6" xfId="0" applyFont="1" applyBorder="1" applyAlignment="1">
      <alignment horizontal="left" readingOrder="1"/>
    </xf>
    <xf numFmtId="0" fontId="7" fillId="0" borderId="6" xfId="0" applyFont="1" applyBorder="1" applyAlignment="1">
      <alignment horizontal="center" vertical="top" readingOrder="1"/>
    </xf>
    <xf numFmtId="0" fontId="8" fillId="0" borderId="6" xfId="0" applyFont="1" applyBorder="1" applyAlignment="1">
      <alignment horizontal="center" vertical="top" readingOrder="1"/>
    </xf>
    <xf numFmtId="0" fontId="8" fillId="6" borderId="6" xfId="0" applyFont="1" applyFill="1" applyBorder="1" applyAlignment="1">
      <alignment horizontal="center" vertical="center" readingOrder="1"/>
    </xf>
    <xf numFmtId="0" fontId="8" fillId="6" borderId="6" xfId="0" applyFont="1" applyFill="1" applyBorder="1" applyAlignment="1">
      <alignment horizontal="left" readingOrder="1"/>
    </xf>
    <xf numFmtId="0" fontId="9" fillId="6" borderId="6" xfId="0" applyFont="1" applyFill="1" applyBorder="1" applyAlignment="1">
      <alignment horizontal="center" vertical="top" readingOrder="1"/>
    </xf>
    <xf numFmtId="0" fontId="10" fillId="6" borderId="6" xfId="0" applyFont="1" applyFill="1" applyBorder="1" applyAlignment="1">
      <alignment horizontal="center" vertical="top" readingOrder="1"/>
    </xf>
    <xf numFmtId="0" fontId="8" fillId="6" borderId="6" xfId="0" applyFont="1" applyFill="1" applyBorder="1" applyAlignment="1">
      <alignment horizontal="center" vertical="top" readingOrder="1"/>
    </xf>
    <xf numFmtId="0" fontId="8" fillId="0" borderId="7" xfId="0" applyFont="1" applyBorder="1" applyAlignment="1">
      <alignment horizontal="left" readingOrder="1"/>
    </xf>
    <xf numFmtId="0" fontId="10" fillId="6" borderId="6" xfId="0" applyFont="1" applyFill="1" applyBorder="1" applyAlignment="1">
      <alignment horizontal="center" vertical="center" readingOrder="1"/>
    </xf>
    <xf numFmtId="0" fontId="11" fillId="0" borderId="6" xfId="0" applyFont="1" applyBorder="1" applyAlignment="1">
      <alignment horizontal="center" vertical="top" readingOrder="1"/>
    </xf>
    <xf numFmtId="0" fontId="11" fillId="0" borderId="6" xfId="0" applyFont="1" applyBorder="1" applyAlignment="1">
      <alignment horizontal="center" vertical="center" readingOrder="1"/>
    </xf>
    <xf numFmtId="0" fontId="6" fillId="0" borderId="10" xfId="0" applyFont="1" applyBorder="1" applyAlignment="1">
      <alignment horizontal="left" readingOrder="1"/>
    </xf>
    <xf numFmtId="0" fontId="6" fillId="0" borderId="10" xfId="0" applyFont="1" applyBorder="1" applyAlignment="1">
      <alignment horizontal="center" vertical="center" readingOrder="1"/>
    </xf>
    <xf numFmtId="0" fontId="6" fillId="0" borderId="11" xfId="0" applyFont="1" applyBorder="1" applyAlignment="1">
      <alignment horizontal="left" readingOrder="1"/>
    </xf>
    <xf numFmtId="0" fontId="12" fillId="0" borderId="0" xfId="0" applyFont="1"/>
    <xf numFmtId="0" fontId="6" fillId="0" borderId="11" xfId="0" applyFont="1" applyBorder="1" applyAlignment="1">
      <alignment horizontal="center" vertical="center" readingOrder="1"/>
    </xf>
    <xf numFmtId="0" fontId="6" fillId="0" borderId="6" xfId="0" applyFont="1" applyBorder="1" applyAlignment="1">
      <alignment horizontal="center" readingOrder="1"/>
    </xf>
    <xf numFmtId="0" fontId="6" fillId="0" borderId="7" xfId="0" applyFont="1" applyBorder="1" applyAlignment="1">
      <alignment horizontal="center" readingOrder="1"/>
    </xf>
    <xf numFmtId="0" fontId="8" fillId="6" borderId="6" xfId="0" applyFont="1" applyFill="1" applyBorder="1" applyAlignment="1">
      <alignment horizontal="center" readingOrder="1"/>
    </xf>
    <xf numFmtId="0" fontId="8" fillId="0" borderId="7" xfId="0" applyFont="1" applyBorder="1" applyAlignment="1">
      <alignment horizontal="center" readingOrder="1"/>
    </xf>
    <xf numFmtId="0" fontId="11" fillId="0" borderId="6" xfId="0" applyFont="1" applyBorder="1" applyAlignment="1">
      <alignment horizontal="center" readingOrder="1"/>
    </xf>
    <xf numFmtId="0" fontId="6" fillId="0" borderId="6" xfId="0" applyFont="1" applyBorder="1" applyAlignment="1">
      <alignment horizontal="left" vertical="center" readingOrder="1"/>
    </xf>
    <xf numFmtId="0" fontId="6" fillId="0" borderId="7" xfId="0" applyFont="1" applyBorder="1" applyAlignment="1">
      <alignment horizontal="center" vertical="center" readingOrder="1"/>
    </xf>
    <xf numFmtId="0" fontId="8" fillId="0" borderId="7" xfId="0" applyFont="1" applyBorder="1" applyAlignment="1">
      <alignment horizontal="center" vertical="center" readingOrder="1"/>
    </xf>
    <xf numFmtId="0" fontId="8" fillId="0" borderId="6" xfId="0" applyFont="1" applyBorder="1" applyAlignment="1">
      <alignment horizontal="center" vertical="center" readingOrder="1"/>
    </xf>
    <xf numFmtId="0" fontId="6" fillId="0" borderId="6" xfId="0" applyFont="1" applyBorder="1" applyAlignment="1">
      <alignment horizontal="center" vertical="top" readingOrder="1"/>
    </xf>
    <xf numFmtId="0" fontId="10" fillId="6" borderId="6" xfId="0" applyFont="1" applyFill="1" applyBorder="1" applyAlignment="1">
      <alignment horizontal="center" readingOrder="1"/>
    </xf>
    <xf numFmtId="0" fontId="12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169" fontId="3" fillId="0" borderId="6" xfId="0" applyNumberFormat="1" applyFont="1" applyBorder="1" applyAlignment="1">
      <alignment horizontal="center"/>
    </xf>
    <xf numFmtId="0" fontId="13" fillId="7" borderId="6" xfId="0" applyFont="1" applyFill="1" applyBorder="1" applyAlignment="1">
      <alignment horizontal="center" vertical="center" readingOrder="1"/>
    </xf>
    <xf numFmtId="0" fontId="13" fillId="7" borderId="6" xfId="0" applyFont="1" applyFill="1" applyBorder="1" applyAlignment="1">
      <alignment horizontal="left" vertical="center" readingOrder="1"/>
    </xf>
    <xf numFmtId="0" fontId="13" fillId="0" borderId="0" xfId="0" applyFont="1"/>
    <xf numFmtId="169" fontId="13" fillId="7" borderId="6" xfId="0" applyNumberFormat="1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 vertical="center" readingOrder="1"/>
    </xf>
    <xf numFmtId="0" fontId="8" fillId="7" borderId="6" xfId="0" applyFont="1" applyFill="1" applyBorder="1" applyAlignment="1">
      <alignment horizontal="left" readingOrder="1"/>
    </xf>
    <xf numFmtId="0" fontId="3" fillId="0" borderId="6" xfId="0" applyFont="1" applyBorder="1" applyAlignment="1">
      <alignment horizontal="center" vertical="center" readingOrder="1"/>
    </xf>
    <xf numFmtId="0" fontId="3" fillId="0" borderId="6" xfId="0" applyFont="1" applyBorder="1" applyAlignment="1">
      <alignment horizontal="left" vertical="center" readingOrder="1"/>
    </xf>
    <xf numFmtId="0" fontId="5" fillId="4" borderId="0" xfId="0" applyFont="1" applyFill="1" applyAlignment="1">
      <alignment horizontal="left" readingOrder="1"/>
    </xf>
    <xf numFmtId="0" fontId="5" fillId="4" borderId="0" xfId="0" applyFont="1" applyFill="1" applyAlignment="1">
      <alignment horizontal="center" vertical="center" readingOrder="1"/>
    </xf>
    <xf numFmtId="0" fontId="4" fillId="4" borderId="0" xfId="0" applyFont="1" applyFill="1" applyAlignment="1">
      <alignment horizontal="center" vertical="center" readingOrder="1"/>
    </xf>
    <xf numFmtId="0" fontId="6" fillId="0" borderId="0" xfId="0" applyFont="1" applyAlignment="1">
      <alignment horizontal="left" readingOrder="1"/>
    </xf>
    <xf numFmtId="0" fontId="6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top" readingOrder="1"/>
    </xf>
    <xf numFmtId="0" fontId="11" fillId="0" borderId="0" xfId="0" applyFont="1" applyAlignment="1">
      <alignment horizontal="center" vertical="top" readingOrder="1"/>
    </xf>
    <xf numFmtId="0" fontId="6" fillId="0" borderId="0" xfId="0" applyFont="1" applyAlignment="1">
      <alignment horizontal="center" vertical="top" readingOrder="1"/>
    </xf>
    <xf numFmtId="0" fontId="6" fillId="9" borderId="0" xfId="0" applyFont="1" applyFill="1" applyAlignment="1">
      <alignment horizontal="left" readingOrder="1"/>
    </xf>
    <xf numFmtId="172" fontId="3" fillId="0" borderId="0" xfId="0" applyNumberFormat="1" applyFont="1" applyAlignment="1">
      <alignment horizontal="center" vertical="center" readingOrder="1"/>
    </xf>
    <xf numFmtId="0" fontId="6" fillId="9" borderId="0" xfId="0" applyFont="1" applyFill="1" applyAlignment="1">
      <alignment horizontal="center" vertical="top" readingOrder="1"/>
    </xf>
    <xf numFmtId="9" fontId="6" fillId="0" borderId="0" xfId="1" applyFont="1" applyBorder="1" applyAlignment="1">
      <alignment horizontal="center" vertical="top" readingOrder="1"/>
    </xf>
    <xf numFmtId="0" fontId="6" fillId="0" borderId="0" xfId="0" applyFont="1" applyAlignment="1">
      <alignment horizontal="center" readingOrder="1"/>
    </xf>
    <xf numFmtId="0" fontId="6" fillId="9" borderId="0" xfId="0" applyFont="1" applyFill="1" applyAlignment="1">
      <alignment horizontal="center" readingOrder="1"/>
    </xf>
    <xf numFmtId="0" fontId="6" fillId="9" borderId="0" xfId="0" applyFont="1" applyFill="1" applyAlignment="1">
      <alignment horizontal="center" vertical="center" readingOrder="1"/>
    </xf>
    <xf numFmtId="172" fontId="3" fillId="0" borderId="0" xfId="0" applyNumberFormat="1" applyFont="1" applyAlignment="1">
      <alignment horizontal="center" vertical="top" readingOrder="1"/>
    </xf>
    <xf numFmtId="0" fontId="11" fillId="0" borderId="0" xfId="0" applyFont="1" applyAlignment="1">
      <alignment horizontal="center" readingOrder="1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3" fillId="9" borderId="0" xfId="0" applyFont="1" applyFill="1"/>
    <xf numFmtId="169" fontId="3" fillId="0" borderId="0" xfId="0" applyNumberFormat="1" applyFont="1" applyAlignment="1">
      <alignment horizontal="center"/>
    </xf>
    <xf numFmtId="172" fontId="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9" fontId="14" fillId="0" borderId="0" xfId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9" fontId="14" fillId="0" borderId="0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center"/>
    </xf>
    <xf numFmtId="1" fontId="14" fillId="0" borderId="0" xfId="0" applyNumberFormat="1" applyFont="1"/>
    <xf numFmtId="164" fontId="14" fillId="0" borderId="0" xfId="0" applyNumberFormat="1" applyFont="1"/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165" fontId="14" fillId="0" borderId="0" xfId="0" applyNumberFormat="1" applyFont="1" applyAlignment="1">
      <alignment horizontal="center" vertical="top" wrapText="1"/>
    </xf>
    <xf numFmtId="166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67" fontId="17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/>
    </xf>
    <xf numFmtId="1" fontId="14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166" fontId="14" fillId="0" borderId="0" xfId="0" applyNumberFormat="1" applyFont="1" applyAlignment="1">
      <alignment horizontal="left"/>
    </xf>
    <xf numFmtId="167" fontId="17" fillId="0" borderId="0" xfId="0" applyNumberFormat="1" applyFont="1" applyAlignment="1">
      <alignment horizontal="center"/>
    </xf>
    <xf numFmtId="167" fontId="14" fillId="0" borderId="0" xfId="0" applyNumberFormat="1" applyFont="1" applyAlignment="1">
      <alignment horizontal="center"/>
    </xf>
    <xf numFmtId="168" fontId="14" fillId="0" borderId="0" xfId="0" applyNumberFormat="1" applyFont="1" applyAlignment="1">
      <alignment horizontal="center"/>
    </xf>
    <xf numFmtId="9" fontId="14" fillId="0" borderId="0" xfId="1" applyFont="1" applyFill="1" applyAlignment="1">
      <alignment horizontal="center"/>
    </xf>
    <xf numFmtId="169" fontId="14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0" fontId="0" fillId="0" borderId="0" xfId="0" applyAlignment="1">
      <alignment horizontal="center" textRotation="90"/>
    </xf>
    <xf numFmtId="0" fontId="4" fillId="2" borderId="0" xfId="0" applyFont="1" applyFill="1" applyAlignment="1">
      <alignment textRotation="90" wrapText="1"/>
    </xf>
    <xf numFmtId="0" fontId="4" fillId="2" borderId="0" xfId="0" applyFont="1" applyFill="1" applyAlignment="1">
      <alignment horizontal="center" textRotation="90" wrapText="1"/>
    </xf>
    <xf numFmtId="0" fontId="14" fillId="0" borderId="0" xfId="0" applyFont="1" applyAlignment="1">
      <alignment horizontal="center" vertical="top" textRotation="90" wrapText="1"/>
    </xf>
    <xf numFmtId="167" fontId="14" fillId="0" borderId="0" xfId="0" applyNumberFormat="1" applyFont="1" applyAlignment="1">
      <alignment horizontal="center" vertical="top" textRotation="90" wrapText="1"/>
    </xf>
    <xf numFmtId="0" fontId="14" fillId="0" borderId="0" xfId="0" applyFont="1" applyAlignment="1">
      <alignment horizontal="center" vertical="top" textRotation="90"/>
    </xf>
    <xf numFmtId="169" fontId="14" fillId="0" borderId="0" xfId="0" applyNumberFormat="1" applyFont="1" applyAlignment="1">
      <alignment horizontal="center" vertical="top" textRotation="90" wrapText="1"/>
    </xf>
    <xf numFmtId="0" fontId="0" fillId="0" borderId="0" xfId="0" applyAlignment="1">
      <alignment textRotation="90"/>
    </xf>
    <xf numFmtId="0" fontId="16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 textRotation="90" readingOrder="1"/>
    </xf>
    <xf numFmtId="0" fontId="4" fillId="4" borderId="7" xfId="0" applyFont="1" applyFill="1" applyBorder="1" applyAlignment="1">
      <alignment horizontal="center" vertical="center" textRotation="90" readingOrder="1"/>
    </xf>
    <xf numFmtId="0" fontId="4" fillId="5" borderId="12" xfId="0" applyFont="1" applyFill="1" applyBorder="1" applyAlignment="1">
      <alignment horizontal="center" vertical="center" textRotation="90" readingOrder="1"/>
    </xf>
    <xf numFmtId="0" fontId="4" fillId="5" borderId="13" xfId="0" applyFont="1" applyFill="1" applyBorder="1" applyAlignment="1">
      <alignment horizontal="center" vertical="center" textRotation="90" readingOrder="1"/>
    </xf>
    <xf numFmtId="0" fontId="4" fillId="4" borderId="9" xfId="0" applyFont="1" applyFill="1" applyBorder="1" applyAlignment="1">
      <alignment horizontal="center" vertical="center" textRotation="90" readingOrder="1"/>
    </xf>
    <xf numFmtId="0" fontId="4" fillId="5" borderId="8" xfId="0" applyFont="1" applyFill="1" applyBorder="1" applyAlignment="1">
      <alignment horizontal="center" vertical="center" textRotation="90" readingOrder="1"/>
    </xf>
    <xf numFmtId="0" fontId="4" fillId="5" borderId="7" xfId="0" applyFont="1" applyFill="1" applyBorder="1" applyAlignment="1">
      <alignment horizontal="center" vertical="center" textRotation="90" readingOrder="1"/>
    </xf>
    <xf numFmtId="0" fontId="4" fillId="5" borderId="9" xfId="0" applyFont="1" applyFill="1" applyBorder="1" applyAlignment="1">
      <alignment horizontal="center" vertical="center" textRotation="90" readingOrder="1"/>
    </xf>
    <xf numFmtId="0" fontId="4" fillId="5" borderId="14" xfId="0" applyFont="1" applyFill="1" applyBorder="1" applyAlignment="1">
      <alignment horizontal="center" vertical="center" textRotation="90" readingOrder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10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2">
    <cellStyle name="Normal" xfId="0" builtinId="0"/>
    <cellStyle name="Procent" xfId="1" builtinId="5"/>
  </cellStyles>
  <dxfs count="319">
    <dxf>
      <alignment textRotation="90"/>
    </dxf>
    <dxf>
      <alignment textRotation="9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textRotation="9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textRotation="90"/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b/>
        <i val="0"/>
        <color theme="0"/>
      </font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numFmt numFmtId="171" formatCode="#,##0.0_ ;[Red]\-#,##0.0\ "/>
      <alignment horizontal="center" vertical="bottom" textRotation="0" wrapText="0" indent="0" justifyLastLine="0" shrinkToFit="0" readingOrder="0"/>
    </dxf>
    <dxf>
      <numFmt numFmtId="171" formatCode="#,##0.0_ ;[Red]\-#,##0.0\ "/>
      <alignment horizontal="center" vertical="bottom" textRotation="0" wrapText="0" indent="0" justifyLastLine="0" shrinkToFit="0" readingOrder="0"/>
    </dxf>
    <dxf>
      <numFmt numFmtId="171" formatCode="#,##0.0_ ;[Red]\-#,##0.0\ "/>
      <alignment horizontal="center" vertical="bottom" textRotation="0" wrapText="0" indent="0" justifyLastLine="0" shrinkToFit="0" readingOrder="0"/>
    </dxf>
    <dxf>
      <numFmt numFmtId="171" formatCode="#,##0.0_ ;[Red]\-#,##0.0\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70" formatCode="#,##0_ ;[Red]\-#,##0\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vertical="top" textRotation="0" wrapText="1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textRotation="90"/>
    </dxf>
    <dxf>
      <alignment textRotation="90"/>
    </dxf>
    <dxf>
      <numFmt numFmtId="0" formatCode="General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alignment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top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172" formatCode="0.0_ ;\-0.0\ "/>
      <alignment horizontal="center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alignment horizontal="center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left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Kigelia"/>
        <family val="2"/>
        <scheme val="none"/>
      </font>
      <alignment horizontal="center" vertical="bottom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right style="thin">
          <color rgb="FF375623"/>
        </right>
      </border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Kigelia"/>
        <family val="2"/>
        <scheme val="none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rgb="FF375623"/>
        </left>
        <right style="thin">
          <color rgb="FF37562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9" formatCode="0.0_ ;[Red]\-0.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9" formatCode="0.0_ ;[Red]\-0.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8" formatCode="0.00_ ;[Red]\-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7" formatCode="0_ ;[Red]\-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6" formatCode="yy/mm/dd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2" formatCode="0.00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13" formatCode="0%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Kigelia"/>
        <family val="2"/>
        <scheme val="none"/>
      </font>
      <fill>
        <patternFill patternType="solid">
          <fgColor theme="9"/>
          <bgColor theme="9"/>
        </patternFill>
      </fill>
      <alignment horizontal="general" vertical="top" textRotation="0" wrapText="1" indent="0" justifyLastLine="0" shrinkToFit="0" readingOrder="0"/>
    </dxf>
    <dxf>
      <alignment textRotation="9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textRotation="9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13" formatCode="0%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Kigeli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Kigelia"/>
        <family val="2"/>
        <scheme val="none"/>
      </font>
      <fill>
        <patternFill patternType="solid">
          <fgColor theme="9"/>
          <bgColor theme="9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bgColor auto="1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fill>
        <patternFill patternType="none">
          <fgColor theme="9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fill>
        <patternFill patternType="none">
          <fgColor theme="9" tint="0.79998168889431442"/>
          <bgColor auto="1"/>
        </patternFill>
      </fill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8"/>
        <name val="Aptos Light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5.xml"/><Relationship Id="rId26" Type="http://schemas.microsoft.com/office/2007/relationships/slicerCache" Target="slicerCaches/slicerCache13.xml"/><Relationship Id="rId39" Type="http://schemas.microsoft.com/office/2007/relationships/slicerCache" Target="slicerCaches/slicerCache26.xml"/><Relationship Id="rId21" Type="http://schemas.microsoft.com/office/2007/relationships/slicerCache" Target="slicerCaches/slicerCache8.xml"/><Relationship Id="rId34" Type="http://schemas.microsoft.com/office/2007/relationships/slicerCache" Target="slicerCaches/slicerCache21.xml"/><Relationship Id="rId42" Type="http://schemas.microsoft.com/office/2007/relationships/slicerCache" Target="slicerCaches/slicerCache29.xml"/><Relationship Id="rId47" Type="http://schemas.openxmlformats.org/officeDocument/2006/relationships/sharedStrings" Target="sharedString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3.xml"/><Relationship Id="rId29" Type="http://schemas.microsoft.com/office/2007/relationships/slicerCache" Target="slicerCaches/slicerCache1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11.xml"/><Relationship Id="rId32" Type="http://schemas.microsoft.com/office/2007/relationships/slicerCache" Target="slicerCaches/slicerCache19.xml"/><Relationship Id="rId37" Type="http://schemas.microsoft.com/office/2007/relationships/slicerCache" Target="slicerCaches/slicerCache24.xml"/><Relationship Id="rId40" Type="http://schemas.microsoft.com/office/2007/relationships/slicerCache" Target="slicerCaches/slicerCache2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23" Type="http://schemas.microsoft.com/office/2007/relationships/slicerCache" Target="slicerCaches/slicerCache10.xml"/><Relationship Id="rId28" Type="http://schemas.microsoft.com/office/2007/relationships/slicerCache" Target="slicerCaches/slicerCache15.xml"/><Relationship Id="rId36" Type="http://schemas.microsoft.com/office/2007/relationships/slicerCache" Target="slicerCaches/slicerCache23.xml"/><Relationship Id="rId49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6.xml"/><Relationship Id="rId31" Type="http://schemas.microsoft.com/office/2007/relationships/slicerCache" Target="slicerCaches/slicerCache18.xml"/><Relationship Id="rId44" Type="http://schemas.microsoft.com/office/2007/relationships/slicerCache" Target="slicerCaches/slicerCache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Relationship Id="rId22" Type="http://schemas.microsoft.com/office/2007/relationships/slicerCache" Target="slicerCaches/slicerCache9.xml"/><Relationship Id="rId27" Type="http://schemas.microsoft.com/office/2007/relationships/slicerCache" Target="slicerCaches/slicerCache14.xml"/><Relationship Id="rId30" Type="http://schemas.microsoft.com/office/2007/relationships/slicerCache" Target="slicerCaches/slicerCache17.xml"/><Relationship Id="rId35" Type="http://schemas.microsoft.com/office/2007/relationships/slicerCache" Target="slicerCaches/slicerCache22.xml"/><Relationship Id="rId43" Type="http://schemas.microsoft.com/office/2007/relationships/slicerCache" Target="slicerCaches/slicerCache30.xml"/><Relationship Id="rId48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microsoft.com/office/2007/relationships/slicerCache" Target="slicerCaches/slicerCache4.xml"/><Relationship Id="rId25" Type="http://schemas.microsoft.com/office/2007/relationships/slicerCache" Target="slicerCaches/slicerCache12.xml"/><Relationship Id="rId33" Type="http://schemas.microsoft.com/office/2007/relationships/slicerCache" Target="slicerCaches/slicerCache20.xml"/><Relationship Id="rId38" Type="http://schemas.microsoft.com/office/2007/relationships/slicerCache" Target="slicerCaches/slicerCache25.xml"/><Relationship Id="rId46" Type="http://schemas.openxmlformats.org/officeDocument/2006/relationships/styles" Target="styles.xml"/><Relationship Id="rId20" Type="http://schemas.microsoft.com/office/2007/relationships/slicerCache" Target="slicerCaches/slicerCache7.xml"/><Relationship Id="rId41" Type="http://schemas.microsoft.com/office/2007/relationships/slicerCache" Target="slicerCaches/slicerCache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TABELLER!$S$203</c:f>
              <c:strCache>
                <c:ptCount val="1"/>
                <c:pt idx="0">
                  <c:v>V%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TABELLER!$S$204:$S$219</c:f>
              <c:numCache>
                <c:formatCode>0%</c:formatCode>
                <c:ptCount val="16"/>
                <c:pt idx="0">
                  <c:v>0.45454545454545453</c:v>
                </c:pt>
                <c:pt idx="1">
                  <c:v>0.18181818181818182</c:v>
                </c:pt>
                <c:pt idx="2">
                  <c:v>5.5555555555555552E-2</c:v>
                </c:pt>
                <c:pt idx="3">
                  <c:v>0.4</c:v>
                </c:pt>
                <c:pt idx="4">
                  <c:v>0.4375</c:v>
                </c:pt>
                <c:pt idx="5">
                  <c:v>0.65</c:v>
                </c:pt>
                <c:pt idx="6">
                  <c:v>0.6875</c:v>
                </c:pt>
                <c:pt idx="7">
                  <c:v>0.83333333333333337</c:v>
                </c:pt>
                <c:pt idx="8">
                  <c:v>0.55555555555555558</c:v>
                </c:pt>
                <c:pt idx="9">
                  <c:v>0.90909090909090906</c:v>
                </c:pt>
                <c:pt idx="10">
                  <c:v>0</c:v>
                </c:pt>
                <c:pt idx="11">
                  <c:v>0.45454545454545453</c:v>
                </c:pt>
                <c:pt idx="12">
                  <c:v>0.86363636363636365</c:v>
                </c:pt>
                <c:pt idx="13">
                  <c:v>0.45454545454545453</c:v>
                </c:pt>
                <c:pt idx="14">
                  <c:v>0.75</c:v>
                </c:pt>
                <c:pt idx="15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9-4453-A920-334D0B55E063}"/>
            </c:ext>
          </c:extLst>
        </c:ser>
        <c:ser>
          <c:idx val="1"/>
          <c:order val="1"/>
          <c:tx>
            <c:strRef>
              <c:f>TABELLER!$T$203</c:f>
              <c:strCache>
                <c:ptCount val="1"/>
                <c:pt idx="0">
                  <c:v>O%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TABELLER!$T$204:$T$219</c:f>
              <c:numCache>
                <c:formatCode>0%</c:formatCode>
                <c:ptCount val="16"/>
                <c:pt idx="0">
                  <c:v>4.5454545454545456E-2</c:v>
                </c:pt>
                <c:pt idx="1">
                  <c:v>0.45454545454545453</c:v>
                </c:pt>
                <c:pt idx="2">
                  <c:v>0.1111111111111111</c:v>
                </c:pt>
                <c:pt idx="3">
                  <c:v>0.4</c:v>
                </c:pt>
                <c:pt idx="4">
                  <c:v>0.25</c:v>
                </c:pt>
                <c:pt idx="5">
                  <c:v>0.15</c:v>
                </c:pt>
                <c:pt idx="6">
                  <c:v>0.125</c:v>
                </c:pt>
                <c:pt idx="7">
                  <c:v>0</c:v>
                </c:pt>
                <c:pt idx="8">
                  <c:v>0.1111111111111111</c:v>
                </c:pt>
                <c:pt idx="9">
                  <c:v>4.5454545454545456E-2</c:v>
                </c:pt>
                <c:pt idx="10">
                  <c:v>0.2</c:v>
                </c:pt>
                <c:pt idx="11">
                  <c:v>0.18181818181818182</c:v>
                </c:pt>
                <c:pt idx="12">
                  <c:v>9.0909090909090912E-2</c:v>
                </c:pt>
                <c:pt idx="13">
                  <c:v>0.13636363636363635</c:v>
                </c:pt>
                <c:pt idx="14">
                  <c:v>0</c:v>
                </c:pt>
                <c:pt idx="15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9-4453-A920-334D0B55E063}"/>
            </c:ext>
          </c:extLst>
        </c:ser>
        <c:ser>
          <c:idx val="2"/>
          <c:order val="2"/>
          <c:tx>
            <c:strRef>
              <c:f>TABELLER!$U$203</c:f>
              <c:strCache>
                <c:ptCount val="1"/>
                <c:pt idx="0">
                  <c:v>F%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TABELLER!$U$204:$U$219</c:f>
              <c:numCache>
                <c:formatCode>0%</c:formatCode>
                <c:ptCount val="16"/>
                <c:pt idx="0">
                  <c:v>0.5</c:v>
                </c:pt>
                <c:pt idx="1">
                  <c:v>0.36363636363636365</c:v>
                </c:pt>
                <c:pt idx="2">
                  <c:v>0.83333333333333337</c:v>
                </c:pt>
                <c:pt idx="3">
                  <c:v>0.2</c:v>
                </c:pt>
                <c:pt idx="4">
                  <c:v>0.3125</c:v>
                </c:pt>
                <c:pt idx="5">
                  <c:v>0.2</c:v>
                </c:pt>
                <c:pt idx="6">
                  <c:v>0.1875</c:v>
                </c:pt>
                <c:pt idx="7">
                  <c:v>0.16666666666666666</c:v>
                </c:pt>
                <c:pt idx="8">
                  <c:v>0.33333333333333331</c:v>
                </c:pt>
                <c:pt idx="9">
                  <c:v>4.5454545454545456E-2</c:v>
                </c:pt>
                <c:pt idx="10">
                  <c:v>0.8</c:v>
                </c:pt>
                <c:pt idx="11">
                  <c:v>0.36363636363636365</c:v>
                </c:pt>
                <c:pt idx="12">
                  <c:v>4.5454545454545456E-2</c:v>
                </c:pt>
                <c:pt idx="13">
                  <c:v>0.40909090909090912</c:v>
                </c:pt>
                <c:pt idx="14">
                  <c:v>0.25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9-4453-A920-334D0B55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617358192"/>
        <c:axId val="1617361072"/>
      </c:barChart>
      <c:catAx>
        <c:axId val="1617358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17361072"/>
        <c:crosses val="autoZero"/>
        <c:auto val="1"/>
        <c:lblAlgn val="ctr"/>
        <c:lblOffset val="100"/>
        <c:noMultiLvlLbl val="0"/>
      </c:catAx>
      <c:valAx>
        <c:axId val="16173610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1735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Blad2!$C$1</c:f>
              <c:strCache>
                <c:ptCount val="1"/>
                <c:pt idx="0">
                  <c:v>DIV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Blad2!$A$2:$B$16</c:f>
              <c:multiLvlStrCache>
                <c:ptCount val="15"/>
                <c:lvl>
                  <c:pt idx="0">
                    <c:v>DIV 3 NORRA</c:v>
                  </c:pt>
                  <c:pt idx="1">
                    <c:v>DIV 3 ÖSTRA</c:v>
                  </c:pt>
                  <c:pt idx="2">
                    <c:v>DIV 4 NORDÖSTRA</c:v>
                  </c:pt>
                  <c:pt idx="3">
                    <c:v>DIV 4 NORDÖSTRA</c:v>
                  </c:pt>
                  <c:pt idx="4">
                    <c:v>DIV 4 NORDÖSTRA</c:v>
                  </c:pt>
                  <c:pt idx="5">
                    <c:v>DIV 4 NORDÖSTRA</c:v>
                  </c:pt>
                  <c:pt idx="6">
                    <c:v>DIV 4 NORDÖSTRA</c:v>
                  </c:pt>
                  <c:pt idx="7">
                    <c:v>DIV 3 NORDÖSTRA</c:v>
                  </c:pt>
                  <c:pt idx="8">
                    <c:v>DIV 2 SÖDRA GÖTALAND</c:v>
                  </c:pt>
                  <c:pt idx="9">
                    <c:v>DIV 2 SÖDRA GÖTALAND</c:v>
                  </c:pt>
                  <c:pt idx="10">
                    <c:v>DIV 1 SÖDRA GÖTALAND</c:v>
                  </c:pt>
                  <c:pt idx="11">
                    <c:v>DIV 2 SYDÖSTRA GÖTALAND</c:v>
                  </c:pt>
                  <c:pt idx="12">
                    <c:v>DIV 2 SYDVÄSTRA GÖTALAND</c:v>
                  </c:pt>
                  <c:pt idx="13">
                    <c:v>DIV 2 SÖDRA GÖTALAND</c:v>
                  </c:pt>
                  <c:pt idx="14">
                    <c:v>DIV 2 SÖDRA GÖTALAND</c:v>
                  </c:pt>
                </c:lvl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  <c:pt idx="11">
                    <c:v>2021</c:v>
                  </c:pt>
                  <c:pt idx="12">
                    <c:v>2022</c:v>
                  </c:pt>
                  <c:pt idx="13">
                    <c:v>2023</c:v>
                  </c:pt>
                  <c:pt idx="14">
                    <c:v>2024</c:v>
                  </c:pt>
                </c:lvl>
              </c:multiLvlStrCache>
            </c:multiLvlStrRef>
          </c:cat>
          <c:val>
            <c:numRef>
              <c:f>Blad2!$C$2:$C$17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5-40C4-83B0-7A466F1E5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932691408"/>
        <c:axId val="932701488"/>
      </c:barChart>
      <c:lineChart>
        <c:grouping val="standard"/>
        <c:varyColors val="0"/>
        <c:ser>
          <c:idx val="1"/>
          <c:order val="1"/>
          <c:tx>
            <c:strRef>
              <c:f>Blad2!$D$1</c:f>
              <c:strCache>
                <c:ptCount val="1"/>
                <c:pt idx="0">
                  <c:v>PLAC</c:v>
                </c:pt>
              </c:strCache>
            </c:strRef>
          </c:tx>
          <c:spPr>
            <a:ln w="3175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Blad2!$A$2:$B$15</c:f>
              <c:multiLvlStrCache>
                <c:ptCount val="14"/>
                <c:lvl>
                  <c:pt idx="0">
                    <c:v>DIV 3 NORRA</c:v>
                  </c:pt>
                  <c:pt idx="1">
                    <c:v>DIV 3 ÖSTRA</c:v>
                  </c:pt>
                  <c:pt idx="2">
                    <c:v>DIV 4 NORDÖSTRA</c:v>
                  </c:pt>
                  <c:pt idx="3">
                    <c:v>DIV 4 NORDÖSTRA</c:v>
                  </c:pt>
                  <c:pt idx="4">
                    <c:v>DIV 4 NORDÖSTRA</c:v>
                  </c:pt>
                  <c:pt idx="5">
                    <c:v>DIV 4 NORDÖSTRA</c:v>
                  </c:pt>
                  <c:pt idx="6">
                    <c:v>DIV 4 NORDÖSTRA</c:v>
                  </c:pt>
                  <c:pt idx="7">
                    <c:v>DIV 3 NORDÖSTRA</c:v>
                  </c:pt>
                  <c:pt idx="8">
                    <c:v>DIV 2 SÖDRA GÖTALAND</c:v>
                  </c:pt>
                  <c:pt idx="9">
                    <c:v>DIV 2 SÖDRA GÖTALAND</c:v>
                  </c:pt>
                  <c:pt idx="10">
                    <c:v>DIV 1 SÖDRA GÖTALAND</c:v>
                  </c:pt>
                  <c:pt idx="11">
                    <c:v>DIV 2 SYDÖSTRA GÖTALAND</c:v>
                  </c:pt>
                  <c:pt idx="12">
                    <c:v>DIV 2 SYDVÄSTRA GÖTALAND</c:v>
                  </c:pt>
                  <c:pt idx="13">
                    <c:v>DIV 2 SÖDRA GÖTALAND</c:v>
                  </c:pt>
                </c:lvl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  <c:pt idx="11">
                    <c:v>2021</c:v>
                  </c:pt>
                  <c:pt idx="12">
                    <c:v>2022</c:v>
                  </c:pt>
                  <c:pt idx="13">
                    <c:v>2023</c:v>
                  </c:pt>
                </c:lvl>
              </c:multiLvlStrCache>
            </c:multiLvlStrRef>
          </c:cat>
          <c:val>
            <c:numRef>
              <c:f>Blad2!$D$2:$D$17</c:f>
              <c:numCache>
                <c:formatCode>General</c:formatCode>
                <c:ptCount val="16"/>
                <c:pt idx="0">
                  <c:v>7</c:v>
                </c:pt>
                <c:pt idx="1">
                  <c:v>10</c:v>
                </c:pt>
                <c:pt idx="2">
                  <c:v>10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  <c:pt idx="10">
                  <c:v>10</c:v>
                </c:pt>
                <c:pt idx="11">
                  <c:v>5</c:v>
                </c:pt>
                <c:pt idx="12">
                  <c:v>1</c:v>
                </c:pt>
                <c:pt idx="13">
                  <c:v>7</c:v>
                </c:pt>
                <c:pt idx="1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0C4-83B0-7A466F1E5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293072"/>
        <c:axId val="822293552"/>
      </c:lineChart>
      <c:catAx>
        <c:axId val="82229307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822293552"/>
        <c:crosses val="autoZero"/>
        <c:auto val="1"/>
        <c:lblAlgn val="ctr"/>
        <c:lblOffset val="100"/>
        <c:noMultiLvlLbl val="0"/>
      </c:catAx>
      <c:valAx>
        <c:axId val="822293552"/>
        <c:scaling>
          <c:orientation val="maxMin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822293072"/>
        <c:crosses val="autoZero"/>
        <c:crossBetween val="between"/>
        <c:majorUnit val="1"/>
      </c:valAx>
      <c:valAx>
        <c:axId val="932701488"/>
        <c:scaling>
          <c:orientation val="minMax"/>
          <c:max val="4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932691408"/>
        <c:crosses val="max"/>
        <c:crossBetween val="between"/>
        <c:majorUnit val="1"/>
      </c:valAx>
      <c:catAx>
        <c:axId val="93269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2701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j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Blad2!$C$1</c:f>
              <c:strCache>
                <c:ptCount val="1"/>
                <c:pt idx="0">
                  <c:v>DIV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Blad2!$A$2:$B$16</c:f>
              <c:multiLvlStrCache>
                <c:ptCount val="15"/>
                <c:lvl>
                  <c:pt idx="0">
                    <c:v>DIV 3 NORRA</c:v>
                  </c:pt>
                  <c:pt idx="1">
                    <c:v>DIV 3 ÖSTRA</c:v>
                  </c:pt>
                  <c:pt idx="2">
                    <c:v>DIV 4 NORDÖSTRA</c:v>
                  </c:pt>
                  <c:pt idx="3">
                    <c:v>DIV 4 NORDÖSTRA</c:v>
                  </c:pt>
                  <c:pt idx="4">
                    <c:v>DIV 4 NORDÖSTRA</c:v>
                  </c:pt>
                  <c:pt idx="5">
                    <c:v>DIV 4 NORDÖSTRA</c:v>
                  </c:pt>
                  <c:pt idx="6">
                    <c:v>DIV 4 NORDÖSTRA</c:v>
                  </c:pt>
                  <c:pt idx="7">
                    <c:v>DIV 3 NORDÖSTRA</c:v>
                  </c:pt>
                  <c:pt idx="8">
                    <c:v>DIV 2 SÖDRA GÖTALAND</c:v>
                  </c:pt>
                  <c:pt idx="9">
                    <c:v>DIV 2 SÖDRA GÖTALAND</c:v>
                  </c:pt>
                  <c:pt idx="10">
                    <c:v>DIV 1 SÖDRA GÖTALAND</c:v>
                  </c:pt>
                  <c:pt idx="11">
                    <c:v>DIV 2 SYDÖSTRA GÖTALAND</c:v>
                  </c:pt>
                  <c:pt idx="12">
                    <c:v>DIV 2 SYDVÄSTRA GÖTALAND</c:v>
                  </c:pt>
                  <c:pt idx="13">
                    <c:v>DIV 2 SÖDRA GÖTALAND</c:v>
                  </c:pt>
                  <c:pt idx="14">
                    <c:v>DIV 2 SÖDRA GÖTALAND</c:v>
                  </c:pt>
                </c:lvl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  <c:pt idx="11">
                    <c:v>2021</c:v>
                  </c:pt>
                  <c:pt idx="12">
                    <c:v>2022</c:v>
                  </c:pt>
                  <c:pt idx="13">
                    <c:v>2023</c:v>
                  </c:pt>
                  <c:pt idx="14">
                    <c:v>2024</c:v>
                  </c:pt>
                </c:lvl>
              </c:multiLvlStrCache>
            </c:multiLvlStrRef>
          </c:cat>
          <c:val>
            <c:numRef>
              <c:f>Blad2!$C$2:$C$17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D-476C-87D7-3DE10198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932691408"/>
        <c:axId val="932701488"/>
      </c:barChart>
      <c:lineChart>
        <c:grouping val="standard"/>
        <c:varyColors val="0"/>
        <c:ser>
          <c:idx val="1"/>
          <c:order val="1"/>
          <c:tx>
            <c:strRef>
              <c:f>Blad2!$D$1</c:f>
              <c:strCache>
                <c:ptCount val="1"/>
                <c:pt idx="0">
                  <c:v>PLAC</c:v>
                </c:pt>
              </c:strCache>
            </c:strRef>
          </c:tx>
          <c:spPr>
            <a:ln w="3175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Blad2!$A$2:$B$16</c:f>
              <c:multiLvlStrCache>
                <c:ptCount val="15"/>
                <c:lvl>
                  <c:pt idx="0">
                    <c:v>DIV 3 NORRA</c:v>
                  </c:pt>
                  <c:pt idx="1">
                    <c:v>DIV 3 ÖSTRA</c:v>
                  </c:pt>
                  <c:pt idx="2">
                    <c:v>DIV 4 NORDÖSTRA</c:v>
                  </c:pt>
                  <c:pt idx="3">
                    <c:v>DIV 4 NORDÖSTRA</c:v>
                  </c:pt>
                  <c:pt idx="4">
                    <c:v>DIV 4 NORDÖSTRA</c:v>
                  </c:pt>
                  <c:pt idx="5">
                    <c:v>DIV 4 NORDÖSTRA</c:v>
                  </c:pt>
                  <c:pt idx="6">
                    <c:v>DIV 4 NORDÖSTRA</c:v>
                  </c:pt>
                  <c:pt idx="7">
                    <c:v>DIV 3 NORDÖSTRA</c:v>
                  </c:pt>
                  <c:pt idx="8">
                    <c:v>DIV 2 SÖDRA GÖTALAND</c:v>
                  </c:pt>
                  <c:pt idx="9">
                    <c:v>DIV 2 SÖDRA GÖTALAND</c:v>
                  </c:pt>
                  <c:pt idx="10">
                    <c:v>DIV 1 SÖDRA GÖTALAND</c:v>
                  </c:pt>
                  <c:pt idx="11">
                    <c:v>DIV 2 SYDÖSTRA GÖTALAND</c:v>
                  </c:pt>
                  <c:pt idx="12">
                    <c:v>DIV 2 SYDVÄSTRA GÖTALAND</c:v>
                  </c:pt>
                  <c:pt idx="13">
                    <c:v>DIV 2 SÖDRA GÖTALAND</c:v>
                  </c:pt>
                  <c:pt idx="14">
                    <c:v>DIV 2 SÖDRA GÖTALAND</c:v>
                  </c:pt>
                </c:lvl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  <c:pt idx="11">
                    <c:v>2021</c:v>
                  </c:pt>
                  <c:pt idx="12">
                    <c:v>2022</c:v>
                  </c:pt>
                  <c:pt idx="13">
                    <c:v>2023</c:v>
                  </c:pt>
                  <c:pt idx="14">
                    <c:v>2024</c:v>
                  </c:pt>
                </c:lvl>
              </c:multiLvlStrCache>
            </c:multiLvlStrRef>
          </c:cat>
          <c:val>
            <c:numRef>
              <c:f>Blad2!$D$2:$D$17</c:f>
              <c:numCache>
                <c:formatCode>General</c:formatCode>
                <c:ptCount val="16"/>
                <c:pt idx="0">
                  <c:v>7</c:v>
                </c:pt>
                <c:pt idx="1">
                  <c:v>10</c:v>
                </c:pt>
                <c:pt idx="2">
                  <c:v>10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  <c:pt idx="10">
                  <c:v>10</c:v>
                </c:pt>
                <c:pt idx="11">
                  <c:v>5</c:v>
                </c:pt>
                <c:pt idx="12">
                  <c:v>1</c:v>
                </c:pt>
                <c:pt idx="13">
                  <c:v>7</c:v>
                </c:pt>
                <c:pt idx="1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6D-476C-87D7-3DE10198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293072"/>
        <c:axId val="822293552"/>
      </c:lineChart>
      <c:catAx>
        <c:axId val="82229307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822293552"/>
        <c:crosses val="autoZero"/>
        <c:auto val="1"/>
        <c:lblAlgn val="ctr"/>
        <c:lblOffset val="100"/>
        <c:noMultiLvlLbl val="0"/>
      </c:catAx>
      <c:valAx>
        <c:axId val="822293552"/>
        <c:scaling>
          <c:orientation val="maxMin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822293072"/>
        <c:crosses val="autoZero"/>
        <c:crossBetween val="between"/>
        <c:majorUnit val="1"/>
      </c:valAx>
      <c:valAx>
        <c:axId val="932701488"/>
        <c:scaling>
          <c:orientation val="minMax"/>
          <c:max val="4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932691408"/>
        <c:crosses val="max"/>
        <c:crossBetween val="between"/>
        <c:majorUnit val="1"/>
      </c:valAx>
      <c:catAx>
        <c:axId val="93269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2701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j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2" name="ÅR 2">
              <a:extLst>
                <a:ext uri="{FF2B5EF4-FFF2-40B4-BE49-F238E27FC236}">
                  <a16:creationId xmlns:a16="http://schemas.microsoft.com/office/drawing/2014/main" id="{2927CCB7-A713-0015-588C-06A547EDDD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34112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0</xdr:colOff>
      <xdr:row>0</xdr:row>
      <xdr:rowOff>0</xdr:rowOff>
    </xdr:from>
    <xdr:to>
      <xdr:col>8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Namn 3">
              <a:extLst>
                <a:ext uri="{FF2B5EF4-FFF2-40B4-BE49-F238E27FC236}">
                  <a16:creationId xmlns:a16="http://schemas.microsoft.com/office/drawing/2014/main" id="{E5210555-0BB9-0DDB-275C-D4300C4DF4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n 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41120" y="0"/>
              <a:ext cx="278892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0</xdr:colOff>
      <xdr:row>0</xdr:row>
      <xdr:rowOff>0</xdr:rowOff>
    </xdr:from>
    <xdr:to>
      <xdr:col>11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4" name="ÅR 3">
              <a:extLst>
                <a:ext uri="{FF2B5EF4-FFF2-40B4-BE49-F238E27FC236}">
                  <a16:creationId xmlns:a16="http://schemas.microsoft.com/office/drawing/2014/main" id="{7F74FAAC-7A0F-FD69-2A65-F9D9FD56441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7720" y="0"/>
              <a:ext cx="143256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0</xdr:colOff>
      <xdr:row>0</xdr:row>
      <xdr:rowOff>0</xdr:rowOff>
    </xdr:from>
    <xdr:to>
      <xdr:col>17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5" name="Namn 4">
              <a:extLst>
                <a:ext uri="{FF2B5EF4-FFF2-40B4-BE49-F238E27FC236}">
                  <a16:creationId xmlns:a16="http://schemas.microsoft.com/office/drawing/2014/main" id="{3EA028A3-3328-173C-4A31-A849040CFE7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n 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50280" y="0"/>
              <a:ext cx="278892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18</xdr:col>
      <xdr:colOff>0</xdr:colOff>
      <xdr:row>0</xdr:row>
      <xdr:rowOff>0</xdr:rowOff>
    </xdr:from>
    <xdr:to>
      <xdr:col>20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6" name="ÅR 4">
              <a:extLst>
                <a:ext uri="{FF2B5EF4-FFF2-40B4-BE49-F238E27FC236}">
                  <a16:creationId xmlns:a16="http://schemas.microsoft.com/office/drawing/2014/main" id="{8984B8C1-D9FE-93B5-F334-122D4FA089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26880" y="0"/>
              <a:ext cx="141732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20</xdr:col>
      <xdr:colOff>0</xdr:colOff>
      <xdr:row>0</xdr:row>
      <xdr:rowOff>0</xdr:rowOff>
    </xdr:from>
    <xdr:to>
      <xdr:col>26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7" name="Namn 5">
              <a:extLst>
                <a:ext uri="{FF2B5EF4-FFF2-40B4-BE49-F238E27FC236}">
                  <a16:creationId xmlns:a16="http://schemas.microsoft.com/office/drawing/2014/main" id="{29C6D686-E3F5-EB04-B6A1-E44AA09CC66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n 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44200" y="0"/>
              <a:ext cx="278892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27</xdr:col>
      <xdr:colOff>0</xdr:colOff>
      <xdr:row>0</xdr:row>
      <xdr:rowOff>0</xdr:rowOff>
    </xdr:from>
    <xdr:to>
      <xdr:col>29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10" name="ÅR 5">
              <a:extLst>
                <a:ext uri="{FF2B5EF4-FFF2-40B4-BE49-F238E27FC236}">
                  <a16:creationId xmlns:a16="http://schemas.microsoft.com/office/drawing/2014/main" id="{29F98EC8-7290-4D3D-AC3B-D0FB6C7453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020800" y="0"/>
              <a:ext cx="159258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29</xdr:col>
      <xdr:colOff>0</xdr:colOff>
      <xdr:row>0</xdr:row>
      <xdr:rowOff>0</xdr:rowOff>
    </xdr:from>
    <xdr:to>
      <xdr:col>35</xdr:col>
      <xdr:colOff>0</xdr:colOff>
      <xdr:row>11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11" name="Namn 6">
              <a:extLst>
                <a:ext uri="{FF2B5EF4-FFF2-40B4-BE49-F238E27FC236}">
                  <a16:creationId xmlns:a16="http://schemas.microsoft.com/office/drawing/2014/main" id="{0A7A77BF-DA9B-4F84-9076-085104E80B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n 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13380" y="0"/>
              <a:ext cx="278892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ÅR">
              <a:extLst>
                <a:ext uri="{FF2B5EF4-FFF2-40B4-BE49-F238E27FC236}">
                  <a16:creationId xmlns:a16="http://schemas.microsoft.com/office/drawing/2014/main" id="{F72C9695-FA66-44D0-AA33-E3D9537450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60400" cy="3333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0</xdr:row>
      <xdr:rowOff>0</xdr:rowOff>
    </xdr:from>
    <xdr:to>
      <xdr:col>14</xdr:col>
      <xdr:colOff>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Namn">
              <a:extLst>
                <a:ext uri="{FF2B5EF4-FFF2-40B4-BE49-F238E27FC236}">
                  <a16:creationId xmlns:a16="http://schemas.microsoft.com/office/drawing/2014/main" id="{75A542E9-C372-42AC-9CA2-99555EA919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701" y="0"/>
              <a:ext cx="3978274" cy="3333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0</xdr:colOff>
      <xdr:row>0</xdr:row>
      <xdr:rowOff>0</xdr:rowOff>
    </xdr:from>
    <xdr:to>
      <xdr:col>25</xdr:col>
      <xdr:colOff>0</xdr:colOff>
      <xdr:row>12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MAT %">
              <a:extLst>
                <a:ext uri="{FF2B5EF4-FFF2-40B4-BE49-F238E27FC236}">
                  <a16:creationId xmlns:a16="http://schemas.microsoft.com/office/drawing/2014/main" id="{9CA8BC31-1590-444C-AF86-45412A2969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T %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5975" y="0"/>
              <a:ext cx="1228725" cy="3333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0</xdr:colOff>
      <xdr:row>12</xdr:row>
      <xdr:rowOff>0</xdr:rowOff>
    </xdr:from>
    <xdr:to>
      <xdr:col>25</xdr:col>
      <xdr:colOff>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MÅL">
              <a:extLst>
                <a:ext uri="{FF2B5EF4-FFF2-40B4-BE49-F238E27FC236}">
                  <a16:creationId xmlns:a16="http://schemas.microsoft.com/office/drawing/2014/main" id="{351AFF2A-B004-467F-AA8D-844B188B74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Å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54701" y="0"/>
              <a:ext cx="1600200" cy="2667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25</xdr:col>
      <xdr:colOff>0</xdr:colOff>
      <xdr:row>7</xdr:row>
      <xdr:rowOff>0</xdr:rowOff>
    </xdr:from>
    <xdr:to>
      <xdr:col>28</xdr:col>
      <xdr:colOff>0</xdr:colOff>
      <xdr:row>12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UTV">
              <a:extLst>
                <a:ext uri="{FF2B5EF4-FFF2-40B4-BE49-F238E27FC236}">
                  <a16:creationId xmlns:a16="http://schemas.microsoft.com/office/drawing/2014/main" id="{FBBE1288-5AE6-49AB-A004-48A453B03ED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UTV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13420" y="822960"/>
              <a:ext cx="1219200" cy="5486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25</xdr:col>
      <xdr:colOff>0</xdr:colOff>
      <xdr:row>0</xdr:row>
      <xdr:rowOff>0</xdr:rowOff>
    </xdr:from>
    <xdr:to>
      <xdr:col>28</xdr:col>
      <xdr:colOff>0</xdr:colOff>
      <xdr:row>7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VAR">
              <a:extLst>
                <a:ext uri="{FF2B5EF4-FFF2-40B4-BE49-F238E27FC236}">
                  <a16:creationId xmlns:a16="http://schemas.microsoft.com/office/drawing/2014/main" id="{65125E7A-CCBE-4FB8-AA75-6B1F91798C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A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4901" y="1866900"/>
              <a:ext cx="939800" cy="146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28</xdr:col>
      <xdr:colOff>0</xdr:colOff>
      <xdr:row>0</xdr:row>
      <xdr:rowOff>0</xdr:rowOff>
    </xdr:from>
    <xdr:to>
      <xdr:col>31</xdr:col>
      <xdr:colOff>297180</xdr:colOff>
      <xdr:row>14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ÅLDER">
              <a:extLst>
                <a:ext uri="{FF2B5EF4-FFF2-40B4-BE49-F238E27FC236}">
                  <a16:creationId xmlns:a16="http://schemas.microsoft.com/office/drawing/2014/main" id="{15A0D1F0-8BFB-4E4F-B89A-E158289B5B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LD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94701" y="0"/>
              <a:ext cx="1079500" cy="3333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25</xdr:col>
      <xdr:colOff>0</xdr:colOff>
      <xdr:row>12</xdr:row>
      <xdr:rowOff>0</xdr:rowOff>
    </xdr:from>
    <xdr:to>
      <xdr:col>28</xdr:col>
      <xdr:colOff>0</xdr:colOff>
      <xdr:row>19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DIVISION">
              <a:extLst>
                <a:ext uri="{FF2B5EF4-FFF2-40B4-BE49-F238E27FC236}">
                  <a16:creationId xmlns:a16="http://schemas.microsoft.com/office/drawing/2014/main" id="{9276C474-C19C-47AB-A108-335B56A2FC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IVIS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13420" y="1371601"/>
              <a:ext cx="1219200" cy="10972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28</xdr:col>
      <xdr:colOff>0</xdr:colOff>
      <xdr:row>14</xdr:row>
      <xdr:rowOff>0</xdr:rowOff>
    </xdr:from>
    <xdr:to>
      <xdr:col>37</xdr:col>
      <xdr:colOff>259080</xdr:colOff>
      <xdr:row>19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ANTAL SÄSONGER 1">
              <a:extLst>
                <a:ext uri="{FF2B5EF4-FFF2-40B4-BE49-F238E27FC236}">
                  <a16:creationId xmlns:a16="http://schemas.microsoft.com/office/drawing/2014/main" id="{DF96C2D5-116D-4D8B-8EAF-5240B85BBC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TAL SÄSONGE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32620" y="1920240"/>
              <a:ext cx="45720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31</xdr:col>
      <xdr:colOff>297180</xdr:colOff>
      <xdr:row>0</xdr:row>
      <xdr:rowOff>0</xdr:rowOff>
    </xdr:from>
    <xdr:to>
      <xdr:col>38</xdr:col>
      <xdr:colOff>0</xdr:colOff>
      <xdr:row>14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A-LAGS MATCHER">
              <a:extLst>
                <a:ext uri="{FF2B5EF4-FFF2-40B4-BE49-F238E27FC236}">
                  <a16:creationId xmlns:a16="http://schemas.microsoft.com/office/drawing/2014/main" id="{39E952BE-B8F9-44EB-9348-93145851E7A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-LAGS MATCH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51820" y="0"/>
              <a:ext cx="3352800" cy="19202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38</xdr:col>
      <xdr:colOff>0</xdr:colOff>
      <xdr:row>0</xdr:row>
      <xdr:rowOff>0</xdr:rowOff>
    </xdr:from>
    <xdr:to>
      <xdr:col>44</xdr:col>
      <xdr:colOff>0</xdr:colOff>
      <xdr:row>19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MAT % 1">
              <a:extLst>
                <a:ext uri="{FF2B5EF4-FFF2-40B4-BE49-F238E27FC236}">
                  <a16:creationId xmlns:a16="http://schemas.microsoft.com/office/drawing/2014/main" id="{E7DB9352-387E-3C6A-343F-EC7C5CE454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T %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150340" y="30480"/>
              <a:ext cx="1783080" cy="25755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0</xdr:colOff>
      <xdr:row>5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SENASTE">
              <a:extLst>
                <a:ext uri="{FF2B5EF4-FFF2-40B4-BE49-F238E27FC236}">
                  <a16:creationId xmlns:a16="http://schemas.microsoft.com/office/drawing/2014/main" id="{E119C536-E9B3-4BCD-86A1-CB0826BBC62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NAS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50" y="0"/>
              <a:ext cx="7467600" cy="533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0</xdr:colOff>
      <xdr:row>5</xdr:row>
      <xdr:rowOff>0</xdr:rowOff>
    </xdr:from>
    <xdr:to>
      <xdr:col>13</xdr:col>
      <xdr:colOff>0</xdr:colOff>
      <xdr:row>13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MAT">
              <a:extLst>
                <a:ext uri="{FF2B5EF4-FFF2-40B4-BE49-F238E27FC236}">
                  <a16:creationId xmlns:a16="http://schemas.microsoft.com/office/drawing/2014/main" id="{74C8DF67-3C84-4EA0-B980-36403ED58A3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48640"/>
              <a:ext cx="731520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0</xdr:colOff>
      <xdr:row>0</xdr:row>
      <xdr:rowOff>0</xdr:rowOff>
    </xdr:from>
    <xdr:to>
      <xdr:col>16</xdr:col>
      <xdr:colOff>0</xdr:colOff>
      <xdr:row>9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VAR 1">
              <a:extLst>
                <a:ext uri="{FF2B5EF4-FFF2-40B4-BE49-F238E27FC236}">
                  <a16:creationId xmlns:a16="http://schemas.microsoft.com/office/drawing/2014/main" id="{C7D90C0A-0448-4082-944C-3EA8873FFFC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A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315200" y="0"/>
              <a:ext cx="96012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16</xdr:col>
      <xdr:colOff>0</xdr:colOff>
      <xdr:row>0</xdr:row>
      <xdr:rowOff>0</xdr:rowOff>
    </xdr:from>
    <xdr:to>
      <xdr:col>22</xdr:col>
      <xdr:colOff>0</xdr:colOff>
      <xdr:row>13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MÅL 1">
              <a:extLst>
                <a:ext uri="{FF2B5EF4-FFF2-40B4-BE49-F238E27FC236}">
                  <a16:creationId xmlns:a16="http://schemas.microsoft.com/office/drawing/2014/main" id="{640C9346-99CF-47D5-9598-8EC26D216CE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Å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35440" y="0"/>
              <a:ext cx="192024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22</xdr:col>
      <xdr:colOff>0</xdr:colOff>
      <xdr:row>0</xdr:row>
      <xdr:rowOff>0</xdr:rowOff>
    </xdr:from>
    <xdr:to>
      <xdr:col>25</xdr:col>
      <xdr:colOff>0</xdr:colOff>
      <xdr:row>13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SÄS">
              <a:extLst>
                <a:ext uri="{FF2B5EF4-FFF2-40B4-BE49-F238E27FC236}">
                  <a16:creationId xmlns:a16="http://schemas.microsoft.com/office/drawing/2014/main" id="{EBB6E79B-5749-4DFB-AF4A-6E0750A275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Ä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155680" y="0"/>
              <a:ext cx="1920240" cy="15087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0</xdr:colOff>
      <xdr:row>9</xdr:row>
      <xdr:rowOff>0</xdr:rowOff>
    </xdr:from>
    <xdr:to>
      <xdr:col>16</xdr:col>
      <xdr:colOff>0</xdr:colOff>
      <xdr:row>13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UTV 1">
              <a:extLst>
                <a:ext uri="{FF2B5EF4-FFF2-40B4-BE49-F238E27FC236}">
                  <a16:creationId xmlns:a16="http://schemas.microsoft.com/office/drawing/2014/main" id="{247AC2CD-60EF-469A-9644-6632FDA728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UTV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99960" y="822960"/>
              <a:ext cx="214884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19</xdr:col>
      <xdr:colOff>0</xdr:colOff>
      <xdr:row>10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Namn 2">
              <a:extLst>
                <a:ext uri="{FF2B5EF4-FFF2-40B4-BE49-F238E27FC236}">
                  <a16:creationId xmlns:a16="http://schemas.microsoft.com/office/drawing/2014/main" id="{B3104D90-3165-4E61-885D-FD8B5C5BCD2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75819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19</xdr:col>
      <xdr:colOff>0</xdr:colOff>
      <xdr:row>0</xdr:row>
      <xdr:rowOff>0</xdr:rowOff>
    </xdr:from>
    <xdr:to>
      <xdr:col>22</xdr:col>
      <xdr:colOff>0</xdr:colOff>
      <xdr:row>9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SENASTE 1">
              <a:extLst>
                <a:ext uri="{FF2B5EF4-FFF2-40B4-BE49-F238E27FC236}">
                  <a16:creationId xmlns:a16="http://schemas.microsoft.com/office/drawing/2014/main" id="{836A602E-8437-4EEA-A2CE-B5CF6AAC683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NAS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1900" y="0"/>
              <a:ext cx="1943100" cy="1234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22</xdr:col>
      <xdr:colOff>0</xdr:colOff>
      <xdr:row>0</xdr:row>
      <xdr:rowOff>0</xdr:rowOff>
    </xdr:from>
    <xdr:to>
      <xdr:col>27</xdr:col>
      <xdr:colOff>304800</xdr:colOff>
      <xdr:row>9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ÅLDER 1">
              <a:extLst>
                <a:ext uri="{FF2B5EF4-FFF2-40B4-BE49-F238E27FC236}">
                  <a16:creationId xmlns:a16="http://schemas.microsoft.com/office/drawing/2014/main" id="{50310911-9938-4CEC-B0CF-232136B88B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LDE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000" y="0"/>
              <a:ext cx="1684020" cy="1234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13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ÅR 1">
              <a:extLst>
                <a:ext uri="{FF2B5EF4-FFF2-40B4-BE49-F238E27FC236}">
                  <a16:creationId xmlns:a16="http://schemas.microsoft.com/office/drawing/2014/main" id="{2780B031-69A8-48FE-A533-9E8F4F9983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0"/>
              <a:ext cx="9055100" cy="533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0</xdr:colOff>
      <xdr:row>0</xdr:row>
      <xdr:rowOff>0</xdr:rowOff>
    </xdr:from>
    <xdr:to>
      <xdr:col>8</xdr:col>
      <xdr:colOff>0</xdr:colOff>
      <xdr:row>13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5" name="HEMMALAG">
              <a:extLst>
                <a:ext uri="{FF2B5EF4-FFF2-40B4-BE49-F238E27FC236}">
                  <a16:creationId xmlns:a16="http://schemas.microsoft.com/office/drawing/2014/main" id="{56690560-1AC0-4CB4-8B45-0BBAAA9D2FF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HEMMALAG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4480" y="0"/>
              <a:ext cx="3169920" cy="17830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0</xdr:colOff>
      <xdr:row>0</xdr:row>
      <xdr:rowOff>0</xdr:rowOff>
    </xdr:from>
    <xdr:to>
      <xdr:col>17</xdr:col>
      <xdr:colOff>0</xdr:colOff>
      <xdr:row>13</xdr:row>
      <xdr:rowOff>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6" name="BORTALAG">
              <a:extLst>
                <a:ext uri="{FF2B5EF4-FFF2-40B4-BE49-F238E27FC236}">
                  <a16:creationId xmlns:a16="http://schemas.microsoft.com/office/drawing/2014/main" id="{261DDDE4-62A8-4CCC-B902-EE179138D9B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ORTALAG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24400" y="0"/>
              <a:ext cx="3154680" cy="17830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202</xdr:row>
      <xdr:rowOff>0</xdr:rowOff>
    </xdr:from>
    <xdr:to>
      <xdr:col>30</xdr:col>
      <xdr:colOff>0</xdr:colOff>
      <xdr:row>219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E7815B4-2B40-1FC7-A73B-EAD95F7C4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18</xdr:col>
      <xdr:colOff>381000</xdr:colOff>
      <xdr:row>11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Namn 1">
              <a:extLst>
                <a:ext uri="{FF2B5EF4-FFF2-40B4-BE49-F238E27FC236}">
                  <a16:creationId xmlns:a16="http://schemas.microsoft.com/office/drawing/2014/main" id="{3A4FA3CC-2E5E-D3D1-CBE0-1E385CC2E5E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8755380" cy="14249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figuren representerar ett tabellutsnitt. Tabellutsnitt stöds inte i den här versionen av Excel.
Det går inte att använda utsnittet om figuren har ändrats i en tidigare version av Excel eller om arbetsboken har sparats i Excel 2007 eller en tidigare version.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23</xdr:col>
      <xdr:colOff>63600</xdr:colOff>
      <xdr:row>65</xdr:row>
      <xdr:rowOff>79200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56F79E9-0016-416C-B55E-F55A9A548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17</xdr:row>
      <xdr:rowOff>0</xdr:rowOff>
    </xdr:from>
    <xdr:to>
      <xdr:col>44</xdr:col>
      <xdr:colOff>171550</xdr:colOff>
      <xdr:row>65</xdr:row>
      <xdr:rowOff>79200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1140D39-07E3-492B-AF1A-5B5B0374E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BELL%202026%20MELLERSTA%20SK&#197;NE%20DIV%204%20DAM.xlsx" TargetMode="External"/><Relationship Id="rId2" Type="http://schemas.openxmlformats.org/officeDocument/2006/relationships/externalLinkPath" Target="https://d.docs.live.net/c895b86222240d83/Dokument/FOTBOLL/&#197;HUS%20IF/TABELL%202026%20MELLERSTA%20SK&#197;NE%20DIV%204%20DAM.xlsx" TargetMode="External"/><Relationship Id="rId1" Type="http://schemas.openxmlformats.org/officeDocument/2006/relationships/externalLinkPath" Target="/c895b86222240d83/Dokument/FOTBOLL/&#197;HUS%20IF/TABELL%202026%20MELLERSTA%20SK&#197;NE%20DIV%204%20D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ELL"/>
      <sheetName val="OMG"/>
      <sheetName val="HEMMA BORTA"/>
      <sheetName val="SPELPROGRAM"/>
      <sheetName val="SPELPROGRAM LAG"/>
      <sheetName val="SPELARE"/>
      <sheetName val="Sheet1"/>
      <sheetName val="PIVOT"/>
    </sheetNames>
    <sheetDataSet>
      <sheetData sheetId="0">
        <row r="2">
          <cell r="A2">
            <v>1</v>
          </cell>
          <cell r="B2" t="str">
            <v>Vanneberga IF</v>
          </cell>
        </row>
        <row r="3">
          <cell r="A3">
            <v>2</v>
          </cell>
          <cell r="B3" t="str">
            <v>Åhus IF</v>
          </cell>
        </row>
        <row r="4">
          <cell r="A4">
            <v>3</v>
          </cell>
          <cell r="B4" t="str">
            <v>Balsby SK</v>
          </cell>
        </row>
        <row r="5">
          <cell r="A5">
            <v>4</v>
          </cell>
          <cell r="B5" t="str">
            <v>Höörs IS/Maglasäte IF</v>
          </cell>
        </row>
        <row r="6">
          <cell r="A6">
            <v>5</v>
          </cell>
          <cell r="B6" t="str">
            <v>Vinnö IF</v>
          </cell>
        </row>
        <row r="7">
          <cell r="A7">
            <v>6</v>
          </cell>
        </row>
        <row r="8">
          <cell r="A8">
            <v>7</v>
          </cell>
          <cell r="B8" t="str">
            <v>Ovesholms IF</v>
          </cell>
        </row>
        <row r="9">
          <cell r="A9">
            <v>8</v>
          </cell>
          <cell r="B9" t="str">
            <v>Rinkaby GoIF</v>
          </cell>
        </row>
        <row r="10">
          <cell r="A10">
            <v>9</v>
          </cell>
          <cell r="B10" t="str">
            <v>Kristianstads DFF IF</v>
          </cell>
        </row>
        <row r="11">
          <cell r="A11">
            <v>10</v>
          </cell>
          <cell r="B11" t="str">
            <v>Svensköps IF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 Olof Elmvik" refreshedDate="46141.968707523149" createdVersion="8" refreshedVersion="8" minRefreshableVersion="3" recordCount="444" xr:uid="{A4A78EBF-D0CD-4C4C-93F6-9CD4A8D1A2AF}">
  <cacheSource type="worksheet">
    <worksheetSource name="Table1"/>
  </cacheSource>
  <cacheFields count="18">
    <cacheField name="ÅR" numFmtId="0">
      <sharedItems containsSemiMixedTypes="0" containsString="0" containsNumber="1" containsInteger="1" minValue="2010" maxValue="2026" count="17">
        <n v="2026"/>
        <n v="2025"/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</sharedItems>
    </cacheField>
    <cacheField name="Namn" numFmtId="0">
      <sharedItems count="189">
        <s v="Josefine Mårtensson"/>
        <s v="Emma Selin"/>
        <s v="Ellen Elmvik"/>
        <s v="Maja Mondélus"/>
        <s v="Agnes Hammarlund"/>
        <s v="Elin Sjöström"/>
        <s v="Olivia Wigdén"/>
        <s v="Moa Vidjeskog"/>
        <s v="Hanna Nilsson"/>
        <s v="Maria Schön"/>
        <s v="Lovisa Svensson"/>
        <s v="Astrid Reinholdsson"/>
        <s v="Louise Jarl Bergqvist"/>
        <s v="Lily Nilsson"/>
        <s v="Sigrid Platoff"/>
        <s v="Martha Sigefjord"/>
        <s v="Zoe Rosengren"/>
        <s v="Ebba Mohlin"/>
        <s v="Elsa Nilsson"/>
        <s v="Ella Andersson"/>
        <s v="Alice Nordenberg"/>
        <s v="Nicolina Nilsson"/>
        <s v="Nelli Olvegård"/>
        <s v="Ebba Mathiasson"/>
        <s v="Elin Johansson"/>
        <s v="Emmie Jönsson"/>
        <s v="Vilma Hansson"/>
        <s v="Siri Bladh"/>
        <s v="Matilda Ståhl"/>
        <s v="Mimozë Bajrami"/>
        <s v="Alva Ström"/>
        <s v="Hanna Andersson"/>
        <s v="Ida Nilsson"/>
        <s v="Matilda Krüger"/>
        <s v="Maja Elmvik"/>
        <s v="Wilma Olsson"/>
        <s v="Lovisa Kalling"/>
        <s v="Ida Sandin"/>
        <s v="Emmy Thyberg"/>
        <s v="Elvira Gunnarsson"/>
        <s v="Thilda Persson"/>
        <s v="Milla Larsson"/>
        <s v="Saga Jontoft"/>
        <s v="Maja Strandqvist"/>
        <s v="Frida Welinder"/>
        <s v="Smilla Rhodin"/>
        <s v="Ester Jepsson"/>
        <s v="Matilda Andersson"/>
        <s v="Amanda Rosengren"/>
        <s v="Ida Carlsson"/>
        <s v="Gabriella Gucci"/>
        <s v="Hedda Hemborg"/>
        <s v="Alice Lingstedt"/>
        <s v="Anna Knutsson"/>
        <s v="Malin Winberg"/>
        <s v="Antonia Jalkinger"/>
        <s v="Lykke Sjöstrand"/>
        <s v="Linn Bergqvist"/>
        <s v="Saga Alvesson"/>
        <s v="Elsa Hjelm"/>
        <s v="Zinett Fritzon"/>
        <s v="Sofie Andersson"/>
        <s v="Moa Johansson"/>
        <s v="Ebba Axelsson"/>
        <s v="Nellie Ek Håkansson"/>
        <s v="Melissa Gojak"/>
        <s v="Esmeralda Törnberg"/>
        <s v="Gudlaug Rut Thorsdottir"/>
        <s v="Amanda Berggren"/>
        <s v="Ebba Ekbladh"/>
        <s v="Elvira Ekbladh"/>
        <s v="Alice Rosenkvist"/>
        <s v="Bea Tornberg"/>
        <s v="Molly Stjärnkvist"/>
        <s v="Mette Johansson"/>
        <s v="Annie Särnblad"/>
        <s v="Emilia Petersson"/>
        <s v="Estera Zientara"/>
        <s v="Diellza Mustafa"/>
        <s v="Wickie Velin Olsson"/>
        <s v="Julia Fehne"/>
        <s v="Isabell Antonsson"/>
        <s v="Louise Berg"/>
        <s v="Mikaela Ekberg"/>
        <s v="Maja Olsson"/>
        <s v="Louise Persson"/>
        <s v="Wilma Palmblad"/>
        <s v="Tina Rickardsson Lindau"/>
        <s v="Sofia Fehne"/>
        <s v="Tilda Josefsson"/>
        <s v="Therese Engblom"/>
        <s v="Frida Söderberg"/>
        <s v="Desirée Tiittanen"/>
        <s v="Elin Almroth"/>
        <s v="Ida Trygg"/>
        <s v="Amanda Wennström"/>
        <s v="Maja Bergh"/>
        <s v="Klara Persson"/>
        <s v="Elin Johansson x"/>
        <s v="Emma Grundtman"/>
        <s v="Edona Karimani"/>
        <s v="Tuva Sundell"/>
        <s v="Vicky Sand"/>
        <s v="Ida Lundin"/>
        <s v="Moa Olsson"/>
        <s v="Tova Jarl Bergqvist"/>
        <s v="Tova Östlund"/>
        <s v="Linnéa Elofsson"/>
        <s v="Maja Nilsson"/>
        <s v="Malin Pettersson"/>
        <s v="Thea Lindell"/>
        <s v="Ellen Elvstrand"/>
        <s v="Elin Steen"/>
        <s v="Hanna Nilsson 96"/>
        <s v="Lina Mårtensson"/>
        <s v="Matilda Andersson x"/>
        <s v="Fanny Selin"/>
        <s v="Isabelle Andersson"/>
        <s v="Fanny Mathiasson"/>
        <s v="Elin Kärrdahl"/>
        <s v="Johanna Svensson"/>
        <s v="Felicia Haglund"/>
        <s v="Engla Björklund"/>
        <s v="Ronja Åkesson"/>
        <s v="Mira Olsson"/>
        <s v="Kajsa Persson"/>
        <s v="Elin Sundholm"/>
        <s v="Agnes Andersson"/>
        <s v="Moa Hansson"/>
        <s v="Maja Johansson"/>
        <s v="Emma Palmkvist"/>
        <s v="Linnéa Lindén"/>
        <s v="Sofia Fridén"/>
        <s v="Alexandra Nilsson"/>
        <s v="Cajsa Bruno"/>
        <s v="Thea Hansson"/>
        <s v="Henny Tillberg"/>
        <s v="Titti Remelin"/>
        <s v="Alma Boklund"/>
        <s v="Isabella Reer"/>
        <s v="Emma Åhlander"/>
        <s v="Annie Elvstrand"/>
        <s v="Alma Sigurdsson"/>
        <s v="Michelle Franzén"/>
        <s v="Majken Nilsson"/>
        <s v="Louise Nilsson"/>
        <s v="Sara Gustavsson"/>
        <s v="Erika Eriksson"/>
        <s v="Sofie Magnusson"/>
        <s v="Alicia Harrysson"/>
        <s v="Jessica Hejdesten"/>
        <s v="Emelie Selfvén"/>
        <s v="Emelie Fägersson"/>
        <s v="Linnea Nilsson"/>
        <s v="Gabriella Selind"/>
        <s v="Ebba Svensson"/>
        <s v="Johanna Selind"/>
        <s v="Vicktoria Tullgren"/>
        <s v="Nell Sjölin Jönsson"/>
        <s v="Elin Persson"/>
        <s v="Bea Hansson"/>
        <s v="Emma Pramberg"/>
        <s v="Li Svensson"/>
        <s v="Maria Persson"/>
        <s v="Johanna Stedt"/>
        <s v="Maria Linnéa Lundström"/>
        <s v="Ida Malmström"/>
        <s v="Cia Svensson"/>
        <s v="Rebecka Almquist"/>
        <s v="Emelie Nilsson"/>
        <s v="Amanda Olsson"/>
        <s v="Sofia Persson"/>
        <s v="Frida Andersson"/>
        <s v="Fanny Henriksson"/>
        <s v="Nellie Karlsson Rowley"/>
        <s v="Lina Joelsson"/>
        <s v="Hanna Persson"/>
        <s v="Sara Nilsson"/>
        <s v="Filippa Andersson"/>
        <s v="Linda Beatrice Bondesson"/>
        <s v="Annica Velin"/>
        <s v="Marie Williamsson"/>
        <s v="Pernilla Tillgren Andersson"/>
        <s v="Frida Parkhagen"/>
        <s v="Julia Molin"/>
        <s v="Marika Sandberg"/>
        <s v="Sarah Salihu"/>
        <s v="Sigrid Patoff" u="1"/>
        <s v="Formel1" f="1"/>
      </sharedItems>
    </cacheField>
    <cacheField name="MAT" numFmtId="0">
      <sharedItems containsSemiMixedTypes="0" containsString="0" containsNumber="1" containsInteger="1" minValue="0" maxValue="29" count="30">
        <n v="4"/>
        <n v="3"/>
        <n v="2"/>
        <n v="1"/>
        <n v="0"/>
        <n v="29"/>
        <n v="28"/>
        <n v="27"/>
        <n v="26"/>
        <n v="25"/>
        <n v="24"/>
        <n v="21"/>
        <n v="20"/>
        <n v="18"/>
        <n v="11"/>
        <n v="10"/>
        <n v="8"/>
        <n v="6"/>
        <n v="5"/>
        <n v="22"/>
        <n v="19"/>
        <n v="16"/>
        <n v="14"/>
        <n v="13"/>
        <n v="12"/>
        <n v="9"/>
        <n v="7"/>
        <n v="23"/>
        <n v="17"/>
        <n v="15"/>
      </sharedItems>
    </cacheField>
    <cacheField name="MAT %" numFmtId="9">
      <sharedItems containsSemiMixedTypes="0" containsString="0" containsNumber="1" minValue="0" maxValue="1"/>
    </cacheField>
    <cacheField name="VAR" numFmtId="0">
      <sharedItems containsSemiMixedTypes="0" containsString="0" containsNumber="1" containsInteger="1" minValue="0" maxValue="11"/>
    </cacheField>
    <cacheField name="UTV" numFmtId="0">
      <sharedItems containsSemiMixedTypes="0" containsString="0" containsNumber="1" containsInteger="1" minValue="0" maxValue="1"/>
    </cacheField>
    <cacheField name="MÅL" numFmtId="0">
      <sharedItems containsSemiMixedTypes="0" containsString="0" containsNumber="1" containsInteger="1" minValue="0" maxValue="48"/>
    </cacheField>
    <cacheField name="LAG MATCH" numFmtId="0">
      <sharedItems containsSemiMixedTypes="0" containsString="0" containsNumber="1" containsInteger="1" minValue="4" maxValue="29"/>
    </cacheField>
    <cacheField name="MÅL/MATCH" numFmtId="164">
      <sharedItems containsMixedTypes="1" containsNumber="1" minValue="0" maxValue="2.1818181818181817"/>
    </cacheField>
    <cacheField name="SENASTE" numFmtId="0">
      <sharedItems containsSemiMixedTypes="0" containsString="0" containsNumber="1" containsInteger="1" minValue="2010" maxValue="2026"/>
    </cacheField>
    <cacheField name="FÖDD" numFmtId="0">
      <sharedItems containsString="0" containsBlank="1" containsNumber="1" containsInteger="1" minValue="1969" maxValue="2011"/>
    </cacheField>
    <cacheField name="ÅLDER" numFmtId="0">
      <sharedItems containsString="0" containsBlank="1" containsNumber="1" containsInteger="1" minValue="13" maxValue="45" count="31">
        <n v="35"/>
        <n v="21"/>
        <n v="19"/>
        <n v="17"/>
        <n v="24"/>
        <n v="23"/>
        <n v="41"/>
        <n v="27"/>
        <n v="18"/>
        <n v="15"/>
        <n v="20"/>
        <n v="16"/>
        <n v="22"/>
        <n v="26"/>
        <n v="34"/>
        <n v="32"/>
        <n v="33"/>
        <n v="31"/>
        <n v="25"/>
        <n v="30"/>
        <n v="29"/>
        <n v="37"/>
        <n v="28"/>
        <n v="14"/>
        <n v="45"/>
        <n v="44"/>
        <n v="43"/>
        <n v="13"/>
        <n v="42"/>
        <m/>
        <n v="40"/>
      </sharedItems>
    </cacheField>
    <cacheField name="DIVISION" numFmtId="0">
      <sharedItems containsSemiMixedTypes="0" containsString="0" containsNumber="1" containsInteger="1" minValue="1" maxValue="4" count="4">
        <n v="4"/>
        <n v="2"/>
        <n v="1"/>
        <n v="3"/>
      </sharedItems>
    </cacheField>
    <cacheField name="A-LAGS MATCHER" numFmtId="0">
      <sharedItems containsSemiMixedTypes="0" containsString="0" containsNumber="1" containsInteger="1" minValue="1" maxValue="200"/>
    </cacheField>
    <cacheField name="SÄSONGER" numFmtId="0">
      <sharedItems containsSemiMixedTypes="0" containsString="0" containsNumber="1" containsInteger="1" minValue="1" maxValue="12"/>
    </cacheField>
    <cacheField name="MÅL TOTALT" numFmtId="0">
      <sharedItems containsSemiMixedTypes="0" containsString="0" containsNumber="1" containsInteger="1" minValue="0" maxValue="119"/>
    </cacheField>
    <cacheField name="VAR TOTALT" numFmtId="0">
      <sharedItems containsSemiMixedTypes="0" containsString="0" containsNumber="1" containsInteger="1" minValue="0" maxValue="12"/>
    </cacheField>
    <cacheField name="UTV TOTALT" numFmtId="0">
      <sharedItems containsSemiMixedTypes="0" containsString="0" containsNumber="1" containsInteger="1" minValue="0" maxValue="1"/>
    </cacheField>
  </cacheFields>
  <calculatedItems count="1">
    <calculatedItem>
      <pivotArea cacheIndex="1" outline="0" fieldPosition="0">
        <references count="1">
          <reference field="1" count="1">
            <x v="188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4">
  <r>
    <x v="0"/>
    <x v="0"/>
    <x v="0"/>
    <n v="1"/>
    <n v="0"/>
    <n v="0"/>
    <n v="7"/>
    <n v="4"/>
    <n v="1.75"/>
    <n v="2026"/>
    <n v="1991"/>
    <x v="0"/>
    <x v="0"/>
    <n v="138"/>
    <n v="9"/>
    <n v="103"/>
    <n v="4"/>
    <n v="0"/>
  </r>
  <r>
    <x v="0"/>
    <x v="1"/>
    <x v="0"/>
    <n v="1"/>
    <n v="0"/>
    <n v="0"/>
    <n v="4"/>
    <n v="4"/>
    <n v="1"/>
    <n v="2026"/>
    <n v="2005"/>
    <x v="1"/>
    <x v="0"/>
    <n v="6"/>
    <n v="2"/>
    <n v="5"/>
    <n v="0"/>
    <n v="0"/>
  </r>
  <r>
    <x v="0"/>
    <x v="2"/>
    <x v="0"/>
    <n v="1"/>
    <n v="0"/>
    <n v="0"/>
    <n v="3"/>
    <n v="4"/>
    <n v="0.75"/>
    <n v="2026"/>
    <n v="2007"/>
    <x v="2"/>
    <x v="0"/>
    <n v="43"/>
    <n v="5"/>
    <n v="14"/>
    <n v="1"/>
    <n v="0"/>
  </r>
  <r>
    <x v="0"/>
    <x v="3"/>
    <x v="0"/>
    <n v="1"/>
    <n v="0"/>
    <n v="0"/>
    <n v="1"/>
    <n v="4"/>
    <n v="0.25"/>
    <n v="2026"/>
    <n v="2009"/>
    <x v="3"/>
    <x v="0"/>
    <n v="10"/>
    <n v="3"/>
    <n v="1"/>
    <n v="0"/>
    <n v="0"/>
  </r>
  <r>
    <x v="0"/>
    <x v="4"/>
    <x v="0"/>
    <n v="1"/>
    <n v="0"/>
    <n v="0"/>
    <n v="1"/>
    <n v="4"/>
    <n v="0.25"/>
    <n v="2026"/>
    <n v="2002"/>
    <x v="4"/>
    <x v="0"/>
    <n v="4"/>
    <n v="1"/>
    <n v="1"/>
    <n v="0"/>
    <n v="0"/>
  </r>
  <r>
    <x v="0"/>
    <x v="5"/>
    <x v="0"/>
    <n v="1"/>
    <n v="1"/>
    <n v="0"/>
    <n v="1"/>
    <n v="4"/>
    <n v="0.25"/>
    <n v="2026"/>
    <n v="2003"/>
    <x v="5"/>
    <x v="0"/>
    <n v="29"/>
    <n v="2"/>
    <n v="6"/>
    <n v="12"/>
    <n v="0"/>
  </r>
  <r>
    <x v="0"/>
    <x v="6"/>
    <x v="0"/>
    <n v="1"/>
    <n v="0"/>
    <n v="0"/>
    <n v="1"/>
    <n v="4"/>
    <n v="0.25"/>
    <n v="2026"/>
    <n v="2002"/>
    <x v="4"/>
    <x v="0"/>
    <n v="4"/>
    <n v="1"/>
    <n v="1"/>
    <n v="0"/>
    <n v="0"/>
  </r>
  <r>
    <x v="0"/>
    <x v="7"/>
    <x v="0"/>
    <n v="1"/>
    <n v="0"/>
    <n v="0"/>
    <n v="0"/>
    <n v="4"/>
    <n v="0"/>
    <n v="2026"/>
    <n v="2007"/>
    <x v="2"/>
    <x v="0"/>
    <n v="16"/>
    <n v="4"/>
    <n v="0"/>
    <n v="0"/>
    <n v="0"/>
  </r>
  <r>
    <x v="0"/>
    <x v="8"/>
    <x v="0"/>
    <n v="1"/>
    <n v="0"/>
    <n v="0"/>
    <n v="0"/>
    <n v="4"/>
    <n v="0"/>
    <n v="2026"/>
    <n v="2007"/>
    <x v="2"/>
    <x v="0"/>
    <n v="41"/>
    <n v="4"/>
    <n v="5"/>
    <n v="0"/>
    <n v="0"/>
  </r>
  <r>
    <x v="0"/>
    <x v="9"/>
    <x v="0"/>
    <n v="1"/>
    <n v="0"/>
    <n v="0"/>
    <n v="0"/>
    <n v="4"/>
    <n v="0"/>
    <n v="2026"/>
    <n v="1985"/>
    <x v="6"/>
    <x v="0"/>
    <n v="25"/>
    <n v="3"/>
    <n v="0"/>
    <n v="0"/>
    <n v="0"/>
  </r>
  <r>
    <x v="0"/>
    <x v="10"/>
    <x v="0"/>
    <n v="1"/>
    <n v="0"/>
    <n v="0"/>
    <n v="0"/>
    <n v="4"/>
    <n v="0"/>
    <n v="2026"/>
    <n v="1999"/>
    <x v="7"/>
    <x v="0"/>
    <n v="36"/>
    <n v="5"/>
    <n v="0"/>
    <n v="1"/>
    <n v="0"/>
  </r>
  <r>
    <x v="0"/>
    <x v="11"/>
    <x v="0"/>
    <n v="1"/>
    <n v="0"/>
    <n v="0"/>
    <n v="0"/>
    <n v="4"/>
    <n v="0"/>
    <n v="2026"/>
    <n v="2008"/>
    <x v="8"/>
    <x v="0"/>
    <n v="11"/>
    <n v="3"/>
    <n v="0"/>
    <n v="0"/>
    <n v="0"/>
  </r>
  <r>
    <x v="0"/>
    <x v="12"/>
    <x v="1"/>
    <n v="0.75"/>
    <n v="0"/>
    <n v="0"/>
    <n v="6"/>
    <n v="4"/>
    <n v="2"/>
    <n v="2026"/>
    <n v="2002"/>
    <x v="4"/>
    <x v="0"/>
    <n v="53"/>
    <n v="5"/>
    <n v="25"/>
    <n v="3"/>
    <n v="0"/>
  </r>
  <r>
    <x v="0"/>
    <x v="13"/>
    <x v="2"/>
    <n v="0.5"/>
    <n v="0"/>
    <n v="0"/>
    <n v="2"/>
    <n v="4"/>
    <n v="1"/>
    <n v="2026"/>
    <n v="2011"/>
    <x v="9"/>
    <x v="0"/>
    <n v="2"/>
    <n v="1"/>
    <n v="2"/>
    <n v="0"/>
    <n v="0"/>
  </r>
  <r>
    <x v="0"/>
    <x v="14"/>
    <x v="2"/>
    <n v="0.5"/>
    <n v="0"/>
    <n v="0"/>
    <n v="0"/>
    <n v="4"/>
    <n v="0"/>
    <n v="2026"/>
    <n v="2007"/>
    <x v="2"/>
    <x v="0"/>
    <n v="7"/>
    <n v="3"/>
    <n v="0"/>
    <n v="0"/>
    <n v="0"/>
  </r>
  <r>
    <x v="0"/>
    <x v="15"/>
    <x v="2"/>
    <n v="0.5"/>
    <n v="1"/>
    <n v="0"/>
    <n v="0"/>
    <n v="4"/>
    <n v="0"/>
    <n v="2026"/>
    <n v="2006"/>
    <x v="10"/>
    <x v="0"/>
    <n v="4"/>
    <n v="2"/>
    <n v="0"/>
    <n v="1"/>
    <n v="0"/>
  </r>
  <r>
    <x v="0"/>
    <x v="16"/>
    <x v="2"/>
    <n v="0.5"/>
    <n v="0"/>
    <n v="0"/>
    <n v="0"/>
    <n v="4"/>
    <n v="0"/>
    <n v="2026"/>
    <n v="2005"/>
    <x v="1"/>
    <x v="0"/>
    <n v="10"/>
    <n v="5"/>
    <n v="0"/>
    <n v="0"/>
    <n v="0"/>
  </r>
  <r>
    <x v="0"/>
    <x v="17"/>
    <x v="3"/>
    <n v="0.25"/>
    <n v="0"/>
    <n v="0"/>
    <n v="0"/>
    <n v="4"/>
    <n v="0"/>
    <n v="2026"/>
    <n v="2011"/>
    <x v="9"/>
    <x v="0"/>
    <n v="1"/>
    <n v="1"/>
    <n v="0"/>
    <n v="0"/>
    <n v="0"/>
  </r>
  <r>
    <x v="0"/>
    <x v="18"/>
    <x v="4"/>
    <n v="0"/>
    <n v="0"/>
    <n v="0"/>
    <n v="0"/>
    <n v="4"/>
    <s v=""/>
    <n v="2026"/>
    <n v="2010"/>
    <x v="11"/>
    <x v="0"/>
    <n v="1"/>
    <n v="2"/>
    <n v="0"/>
    <n v="0"/>
    <n v="0"/>
  </r>
  <r>
    <x v="0"/>
    <x v="19"/>
    <x v="4"/>
    <n v="0"/>
    <n v="0"/>
    <n v="0"/>
    <n v="0"/>
    <n v="4"/>
    <s v=""/>
    <n v="2026"/>
    <n v="2002"/>
    <x v="4"/>
    <x v="0"/>
    <n v="63"/>
    <n v="5"/>
    <n v="24"/>
    <n v="3"/>
    <n v="0"/>
  </r>
  <r>
    <x v="0"/>
    <x v="20"/>
    <x v="4"/>
    <n v="0"/>
    <n v="0"/>
    <n v="0"/>
    <n v="0"/>
    <n v="4"/>
    <s v=""/>
    <n v="2026"/>
    <n v="2002"/>
    <x v="4"/>
    <x v="0"/>
    <n v="21"/>
    <n v="2"/>
    <n v="1"/>
    <n v="2"/>
    <n v="1"/>
  </r>
  <r>
    <x v="0"/>
    <x v="21"/>
    <x v="4"/>
    <n v="0"/>
    <n v="0"/>
    <n v="0"/>
    <n v="0"/>
    <n v="4"/>
    <s v=""/>
    <n v="2026"/>
    <n v="2007"/>
    <x v="2"/>
    <x v="0"/>
    <n v="22"/>
    <n v="3"/>
    <n v="4"/>
    <n v="0"/>
    <n v="0"/>
  </r>
  <r>
    <x v="1"/>
    <x v="21"/>
    <x v="0"/>
    <n v="1"/>
    <n v="0"/>
    <n v="0"/>
    <n v="1"/>
    <n v="4"/>
    <n v="0.25"/>
    <n v="2025"/>
    <n v="2007"/>
    <x v="8"/>
    <x v="1"/>
    <n v="22"/>
    <n v="3"/>
    <n v="4"/>
    <n v="0"/>
    <n v="0"/>
  </r>
  <r>
    <x v="1"/>
    <x v="3"/>
    <x v="0"/>
    <n v="1"/>
    <n v="0"/>
    <n v="0"/>
    <n v="0"/>
    <n v="4"/>
    <n v="0"/>
    <n v="2025"/>
    <n v="2009"/>
    <x v="11"/>
    <x v="1"/>
    <n v="10"/>
    <n v="3"/>
    <n v="1"/>
    <n v="0"/>
    <n v="0"/>
  </r>
  <r>
    <x v="1"/>
    <x v="22"/>
    <x v="0"/>
    <n v="1"/>
    <n v="0"/>
    <n v="0"/>
    <n v="0"/>
    <n v="4"/>
    <n v="0"/>
    <n v="2025"/>
    <n v="2006"/>
    <x v="2"/>
    <x v="1"/>
    <n v="4"/>
    <n v="1"/>
    <n v="0"/>
    <n v="0"/>
    <n v="0"/>
  </r>
  <r>
    <x v="1"/>
    <x v="23"/>
    <x v="1"/>
    <n v="0.75"/>
    <n v="0"/>
    <n v="0"/>
    <n v="3"/>
    <n v="4"/>
    <n v="1"/>
    <n v="2025"/>
    <n v="2009"/>
    <x v="11"/>
    <x v="1"/>
    <n v="4"/>
    <n v="2"/>
    <n v="3"/>
    <n v="0"/>
    <n v="0"/>
  </r>
  <r>
    <x v="1"/>
    <x v="24"/>
    <x v="1"/>
    <n v="0.75"/>
    <n v="0"/>
    <n v="0"/>
    <n v="1"/>
    <n v="4"/>
    <n v="0.33333333333333331"/>
    <n v="2025"/>
    <n v="2003"/>
    <x v="12"/>
    <x v="1"/>
    <n v="7"/>
    <n v="2"/>
    <n v="3"/>
    <n v="0"/>
    <n v="0"/>
  </r>
  <r>
    <x v="1"/>
    <x v="25"/>
    <x v="1"/>
    <n v="0.75"/>
    <n v="0"/>
    <n v="0"/>
    <n v="1"/>
    <n v="4"/>
    <n v="0.33333333333333331"/>
    <n v="2025"/>
    <n v="2008"/>
    <x v="3"/>
    <x v="1"/>
    <n v="4"/>
    <n v="2"/>
    <n v="1"/>
    <n v="0"/>
    <n v="0"/>
  </r>
  <r>
    <x v="1"/>
    <x v="26"/>
    <x v="1"/>
    <n v="0.75"/>
    <n v="0"/>
    <n v="0"/>
    <n v="1"/>
    <n v="4"/>
    <n v="0.33333333333333331"/>
    <n v="2025"/>
    <n v="1999"/>
    <x v="13"/>
    <x v="1"/>
    <n v="24"/>
    <n v="2"/>
    <n v="17"/>
    <n v="0"/>
    <n v="0"/>
  </r>
  <r>
    <x v="1"/>
    <x v="11"/>
    <x v="1"/>
    <n v="0.75"/>
    <n v="0"/>
    <n v="0"/>
    <n v="0"/>
    <n v="4"/>
    <n v="0"/>
    <n v="2025"/>
    <n v="2008"/>
    <x v="3"/>
    <x v="1"/>
    <n v="11"/>
    <n v="3"/>
    <n v="0"/>
    <n v="0"/>
    <n v="0"/>
  </r>
  <r>
    <x v="1"/>
    <x v="8"/>
    <x v="1"/>
    <n v="0.75"/>
    <n v="0"/>
    <n v="0"/>
    <n v="0"/>
    <n v="4"/>
    <n v="0"/>
    <n v="2025"/>
    <n v="2007"/>
    <x v="8"/>
    <x v="1"/>
    <n v="41"/>
    <n v="4"/>
    <n v="5"/>
    <n v="0"/>
    <n v="0"/>
  </r>
  <r>
    <x v="1"/>
    <x v="27"/>
    <x v="1"/>
    <n v="0.75"/>
    <n v="0"/>
    <n v="0"/>
    <n v="0"/>
    <n v="4"/>
    <n v="0"/>
    <n v="2025"/>
    <n v="2007"/>
    <x v="8"/>
    <x v="1"/>
    <n v="3"/>
    <n v="1"/>
    <n v="0"/>
    <n v="0"/>
    <n v="0"/>
  </r>
  <r>
    <x v="1"/>
    <x v="0"/>
    <x v="2"/>
    <n v="0.5"/>
    <n v="1"/>
    <n v="0"/>
    <n v="1"/>
    <n v="4"/>
    <n v="0.5"/>
    <n v="2025"/>
    <n v="1991"/>
    <x v="14"/>
    <x v="1"/>
    <n v="138"/>
    <n v="9"/>
    <n v="103"/>
    <n v="4"/>
    <n v="0"/>
  </r>
  <r>
    <x v="1"/>
    <x v="1"/>
    <x v="2"/>
    <n v="0.5"/>
    <n v="0"/>
    <n v="0"/>
    <n v="1"/>
    <n v="4"/>
    <n v="0.5"/>
    <n v="2025"/>
    <n v="2005"/>
    <x v="10"/>
    <x v="1"/>
    <n v="6"/>
    <n v="2"/>
    <n v="5"/>
    <n v="0"/>
    <n v="0"/>
  </r>
  <r>
    <x v="1"/>
    <x v="28"/>
    <x v="2"/>
    <n v="0.5"/>
    <n v="0"/>
    <n v="0"/>
    <n v="0"/>
    <n v="4"/>
    <n v="0"/>
    <n v="2025"/>
    <n v="1993"/>
    <x v="15"/>
    <x v="1"/>
    <n v="92"/>
    <n v="7"/>
    <n v="5"/>
    <n v="4"/>
    <n v="0"/>
  </r>
  <r>
    <x v="1"/>
    <x v="29"/>
    <x v="2"/>
    <n v="0.5"/>
    <n v="0"/>
    <n v="0"/>
    <n v="0"/>
    <n v="4"/>
    <n v="0"/>
    <n v="2025"/>
    <n v="2006"/>
    <x v="2"/>
    <x v="1"/>
    <n v="2"/>
    <n v="1"/>
    <n v="0"/>
    <n v="0"/>
    <n v="0"/>
  </r>
  <r>
    <x v="1"/>
    <x v="7"/>
    <x v="2"/>
    <n v="0.5"/>
    <n v="0"/>
    <n v="0"/>
    <n v="0"/>
    <n v="4"/>
    <n v="0"/>
    <n v="2025"/>
    <n v="2007"/>
    <x v="8"/>
    <x v="1"/>
    <n v="16"/>
    <n v="4"/>
    <n v="0"/>
    <n v="0"/>
    <n v="0"/>
  </r>
  <r>
    <x v="1"/>
    <x v="14"/>
    <x v="2"/>
    <n v="0.5"/>
    <n v="0"/>
    <n v="0"/>
    <n v="0"/>
    <n v="4"/>
    <n v="0"/>
    <n v="2025"/>
    <n v="2007"/>
    <x v="8"/>
    <x v="1"/>
    <n v="7"/>
    <n v="3"/>
    <n v="0"/>
    <n v="0"/>
    <n v="0"/>
  </r>
  <r>
    <x v="1"/>
    <x v="30"/>
    <x v="3"/>
    <n v="0.25"/>
    <n v="0"/>
    <n v="0"/>
    <n v="0"/>
    <n v="4"/>
    <n v="0"/>
    <n v="2025"/>
    <n v="2010"/>
    <x v="9"/>
    <x v="1"/>
    <n v="1"/>
    <n v="1"/>
    <n v="0"/>
    <n v="0"/>
    <n v="0"/>
  </r>
  <r>
    <x v="1"/>
    <x v="2"/>
    <x v="3"/>
    <n v="0.25"/>
    <n v="0"/>
    <n v="0"/>
    <n v="0"/>
    <n v="4"/>
    <n v="0"/>
    <n v="2025"/>
    <n v="2007"/>
    <x v="8"/>
    <x v="1"/>
    <n v="43"/>
    <n v="5"/>
    <n v="14"/>
    <n v="1"/>
    <n v="0"/>
  </r>
  <r>
    <x v="1"/>
    <x v="18"/>
    <x v="3"/>
    <n v="0.25"/>
    <n v="0"/>
    <n v="0"/>
    <n v="0"/>
    <n v="4"/>
    <n v="0"/>
    <n v="2025"/>
    <n v="2010"/>
    <x v="9"/>
    <x v="1"/>
    <n v="1"/>
    <n v="2"/>
    <n v="0"/>
    <n v="0"/>
    <n v="0"/>
  </r>
  <r>
    <x v="1"/>
    <x v="31"/>
    <x v="3"/>
    <n v="0.25"/>
    <n v="0"/>
    <n v="0"/>
    <n v="0"/>
    <n v="4"/>
    <n v="0"/>
    <n v="2025"/>
    <n v="2008"/>
    <x v="3"/>
    <x v="1"/>
    <n v="7"/>
    <n v="2"/>
    <n v="0"/>
    <n v="0"/>
    <n v="0"/>
  </r>
  <r>
    <x v="1"/>
    <x v="32"/>
    <x v="3"/>
    <n v="0.25"/>
    <n v="0"/>
    <n v="0"/>
    <n v="0"/>
    <n v="4"/>
    <n v="0"/>
    <n v="2025"/>
    <n v="2010"/>
    <x v="9"/>
    <x v="1"/>
    <n v="1"/>
    <n v="1"/>
    <n v="0"/>
    <n v="0"/>
    <n v="0"/>
  </r>
  <r>
    <x v="1"/>
    <x v="33"/>
    <x v="3"/>
    <n v="0.25"/>
    <n v="0"/>
    <n v="0"/>
    <n v="0"/>
    <n v="4"/>
    <n v="0"/>
    <n v="2025"/>
    <n v="2010"/>
    <x v="9"/>
    <x v="1"/>
    <n v="1"/>
    <n v="1"/>
    <n v="0"/>
    <n v="0"/>
    <n v="0"/>
  </r>
  <r>
    <x v="1"/>
    <x v="16"/>
    <x v="3"/>
    <n v="0.25"/>
    <n v="0"/>
    <n v="0"/>
    <n v="0"/>
    <n v="4"/>
    <n v="0"/>
    <n v="2025"/>
    <n v="2005"/>
    <x v="10"/>
    <x v="1"/>
    <n v="10"/>
    <n v="5"/>
    <n v="0"/>
    <n v="0"/>
    <n v="0"/>
  </r>
  <r>
    <x v="2"/>
    <x v="2"/>
    <x v="5"/>
    <n v="1"/>
    <n v="1"/>
    <n v="0"/>
    <n v="9"/>
    <n v="29"/>
    <n v="0.31034482758620691"/>
    <n v="2024"/>
    <n v="2007"/>
    <x v="3"/>
    <x v="1"/>
    <n v="43"/>
    <n v="5"/>
    <n v="14"/>
    <n v="1"/>
    <n v="0"/>
  </r>
  <r>
    <x v="2"/>
    <x v="34"/>
    <x v="6"/>
    <n v="0.96551724137931039"/>
    <n v="4"/>
    <n v="0"/>
    <n v="6"/>
    <n v="29"/>
    <n v="0.21428571428571427"/>
    <n v="2024"/>
    <n v="2002"/>
    <x v="12"/>
    <x v="1"/>
    <n v="151"/>
    <n v="8"/>
    <n v="29"/>
    <n v="9"/>
    <n v="0"/>
  </r>
  <r>
    <x v="2"/>
    <x v="8"/>
    <x v="6"/>
    <n v="0.96551724137931039"/>
    <n v="0"/>
    <n v="0"/>
    <n v="5"/>
    <n v="29"/>
    <n v="0.17857142857142858"/>
    <n v="2024"/>
    <n v="2007"/>
    <x v="3"/>
    <x v="1"/>
    <n v="41"/>
    <n v="4"/>
    <n v="5"/>
    <n v="0"/>
    <n v="0"/>
  </r>
  <r>
    <x v="2"/>
    <x v="35"/>
    <x v="7"/>
    <n v="0.93103448275862066"/>
    <n v="0"/>
    <n v="0"/>
    <n v="4"/>
    <n v="29"/>
    <n v="0.14814814814814814"/>
    <n v="2024"/>
    <n v="2006"/>
    <x v="8"/>
    <x v="1"/>
    <n v="27"/>
    <n v="1"/>
    <n v="4"/>
    <n v="0"/>
    <n v="0"/>
  </r>
  <r>
    <x v="2"/>
    <x v="0"/>
    <x v="8"/>
    <n v="0.89655172413793105"/>
    <n v="0"/>
    <n v="0"/>
    <n v="24"/>
    <n v="29"/>
    <n v="0.92307692307692313"/>
    <n v="2024"/>
    <n v="1991"/>
    <x v="16"/>
    <x v="1"/>
    <n v="138"/>
    <n v="9"/>
    <n v="103"/>
    <n v="4"/>
    <n v="0"/>
  </r>
  <r>
    <x v="2"/>
    <x v="28"/>
    <x v="8"/>
    <n v="0.89655172413793105"/>
    <n v="1"/>
    <n v="0"/>
    <n v="2"/>
    <n v="29"/>
    <n v="7.6923076923076927E-2"/>
    <n v="2024"/>
    <n v="1993"/>
    <x v="17"/>
    <x v="1"/>
    <n v="92"/>
    <n v="7"/>
    <n v="5"/>
    <n v="4"/>
    <n v="0"/>
  </r>
  <r>
    <x v="2"/>
    <x v="5"/>
    <x v="9"/>
    <n v="0.86206896551724133"/>
    <n v="11"/>
    <n v="0"/>
    <n v="5"/>
    <n v="29"/>
    <n v="0.2"/>
    <n v="2024"/>
    <n v="2003"/>
    <x v="1"/>
    <x v="1"/>
    <n v="29"/>
    <n v="2"/>
    <n v="6"/>
    <n v="12"/>
    <n v="0"/>
  </r>
  <r>
    <x v="2"/>
    <x v="36"/>
    <x v="9"/>
    <n v="0.86206896551724133"/>
    <n v="0"/>
    <n v="0"/>
    <n v="0"/>
    <n v="29"/>
    <n v="0"/>
    <n v="2024"/>
    <n v="1999"/>
    <x v="18"/>
    <x v="1"/>
    <n v="36"/>
    <n v="2"/>
    <n v="0"/>
    <n v="0"/>
    <n v="0"/>
  </r>
  <r>
    <x v="2"/>
    <x v="37"/>
    <x v="10"/>
    <n v="0.82758620689655171"/>
    <n v="1"/>
    <n v="1"/>
    <n v="5"/>
    <n v="29"/>
    <n v="0.20833333333333334"/>
    <n v="2024"/>
    <n v="1989"/>
    <x v="0"/>
    <x v="1"/>
    <n v="119"/>
    <n v="6"/>
    <n v="6"/>
    <n v="3"/>
    <n v="1"/>
  </r>
  <r>
    <x v="2"/>
    <x v="26"/>
    <x v="11"/>
    <n v="0.72413793103448276"/>
    <n v="0"/>
    <n v="0"/>
    <n v="16"/>
    <n v="29"/>
    <n v="0.76190476190476186"/>
    <n v="2024"/>
    <n v="1999"/>
    <x v="18"/>
    <x v="1"/>
    <n v="24"/>
    <n v="2"/>
    <n v="17"/>
    <n v="0"/>
    <n v="0"/>
  </r>
  <r>
    <x v="2"/>
    <x v="20"/>
    <x v="11"/>
    <n v="0.72413793103448276"/>
    <n v="2"/>
    <n v="1"/>
    <n v="1"/>
    <n v="29"/>
    <n v="4.7619047619047616E-2"/>
    <n v="2024"/>
    <n v="2002"/>
    <x v="12"/>
    <x v="1"/>
    <n v="21"/>
    <n v="2"/>
    <n v="1"/>
    <n v="2"/>
    <n v="1"/>
  </r>
  <r>
    <x v="2"/>
    <x v="38"/>
    <x v="11"/>
    <n v="0.72413793103448276"/>
    <n v="1"/>
    <n v="0"/>
    <n v="0"/>
    <n v="29"/>
    <n v="0"/>
    <n v="2024"/>
    <n v="2006"/>
    <x v="8"/>
    <x v="1"/>
    <n v="21"/>
    <n v="1"/>
    <n v="0"/>
    <n v="1"/>
    <n v="0"/>
  </r>
  <r>
    <x v="2"/>
    <x v="19"/>
    <x v="12"/>
    <n v="0.68965517241379315"/>
    <n v="1"/>
    <n v="0"/>
    <n v="4"/>
    <n v="29"/>
    <n v="0.2"/>
    <n v="2024"/>
    <n v="2002"/>
    <x v="12"/>
    <x v="1"/>
    <n v="63"/>
    <n v="5"/>
    <n v="24"/>
    <n v="3"/>
    <n v="0"/>
  </r>
  <r>
    <x v="2"/>
    <x v="10"/>
    <x v="12"/>
    <n v="0.68965517241379315"/>
    <n v="1"/>
    <n v="0"/>
    <n v="0"/>
    <n v="29"/>
    <n v="0"/>
    <n v="2024"/>
    <n v="1999"/>
    <x v="18"/>
    <x v="1"/>
    <n v="36"/>
    <n v="5"/>
    <n v="0"/>
    <n v="1"/>
    <n v="0"/>
  </r>
  <r>
    <x v="2"/>
    <x v="21"/>
    <x v="13"/>
    <n v="0.62068965517241381"/>
    <n v="0"/>
    <n v="0"/>
    <n v="3"/>
    <n v="29"/>
    <n v="0.16666666666666666"/>
    <n v="2024"/>
    <n v="2007"/>
    <x v="3"/>
    <x v="1"/>
    <n v="22"/>
    <n v="3"/>
    <n v="4"/>
    <n v="0"/>
    <n v="0"/>
  </r>
  <r>
    <x v="2"/>
    <x v="39"/>
    <x v="14"/>
    <n v="0.37931034482758619"/>
    <n v="0"/>
    <n v="0"/>
    <n v="3"/>
    <n v="29"/>
    <n v="0.27272727272727271"/>
    <n v="2024"/>
    <n v="2003"/>
    <x v="1"/>
    <x v="1"/>
    <n v="22"/>
    <n v="2"/>
    <n v="3"/>
    <n v="1"/>
    <n v="0"/>
  </r>
  <r>
    <x v="2"/>
    <x v="40"/>
    <x v="14"/>
    <n v="0.37931034482758619"/>
    <n v="0"/>
    <n v="0"/>
    <n v="0"/>
    <n v="29"/>
    <n v="0"/>
    <n v="2024"/>
    <n v="2001"/>
    <x v="5"/>
    <x v="1"/>
    <n v="23"/>
    <n v="2"/>
    <n v="0"/>
    <n v="0"/>
    <n v="0"/>
  </r>
  <r>
    <x v="2"/>
    <x v="12"/>
    <x v="15"/>
    <n v="0.34482758620689657"/>
    <n v="3"/>
    <n v="0"/>
    <n v="3"/>
    <n v="29"/>
    <n v="0.3"/>
    <n v="2024"/>
    <n v="2002"/>
    <x v="12"/>
    <x v="1"/>
    <n v="53"/>
    <n v="5"/>
    <n v="25"/>
    <n v="3"/>
    <n v="0"/>
  </r>
  <r>
    <x v="2"/>
    <x v="41"/>
    <x v="16"/>
    <n v="0.27586206896551724"/>
    <n v="0"/>
    <n v="0"/>
    <n v="13"/>
    <n v="29"/>
    <n v="1.625"/>
    <n v="2024"/>
    <n v="2001"/>
    <x v="5"/>
    <x v="1"/>
    <n v="8"/>
    <n v="1"/>
    <n v="13"/>
    <n v="0"/>
    <n v="0"/>
  </r>
  <r>
    <x v="2"/>
    <x v="31"/>
    <x v="17"/>
    <n v="0.20689655172413793"/>
    <n v="0"/>
    <n v="0"/>
    <n v="0"/>
    <n v="29"/>
    <n v="0"/>
    <n v="2024"/>
    <n v="2008"/>
    <x v="11"/>
    <x v="1"/>
    <n v="7"/>
    <n v="2"/>
    <n v="0"/>
    <n v="0"/>
    <n v="0"/>
  </r>
  <r>
    <x v="2"/>
    <x v="42"/>
    <x v="18"/>
    <n v="0.17241379310344829"/>
    <n v="0"/>
    <n v="0"/>
    <n v="0"/>
    <n v="29"/>
    <n v="0"/>
    <n v="2024"/>
    <n v="2001"/>
    <x v="5"/>
    <x v="1"/>
    <n v="48"/>
    <n v="8"/>
    <n v="14"/>
    <n v="1"/>
    <n v="0"/>
  </r>
  <r>
    <x v="2"/>
    <x v="24"/>
    <x v="0"/>
    <n v="0.13793103448275862"/>
    <n v="0"/>
    <n v="0"/>
    <n v="2"/>
    <n v="29"/>
    <n v="0.5"/>
    <n v="2024"/>
    <n v="2003"/>
    <x v="1"/>
    <x v="1"/>
    <n v="7"/>
    <n v="2"/>
    <n v="3"/>
    <n v="0"/>
    <n v="0"/>
  </r>
  <r>
    <x v="2"/>
    <x v="43"/>
    <x v="0"/>
    <n v="0.13793103448275862"/>
    <n v="0"/>
    <n v="0"/>
    <n v="0"/>
    <n v="29"/>
    <n v="0"/>
    <n v="2024"/>
    <n v="2008"/>
    <x v="11"/>
    <x v="1"/>
    <n v="5"/>
    <n v="2"/>
    <n v="0"/>
    <n v="0"/>
    <n v="0"/>
  </r>
  <r>
    <x v="2"/>
    <x v="11"/>
    <x v="0"/>
    <n v="0.13793103448275862"/>
    <n v="0"/>
    <n v="0"/>
    <n v="0"/>
    <n v="29"/>
    <n v="0"/>
    <n v="2024"/>
    <n v="2008"/>
    <x v="11"/>
    <x v="1"/>
    <n v="11"/>
    <n v="3"/>
    <n v="0"/>
    <n v="0"/>
    <n v="0"/>
  </r>
  <r>
    <x v="2"/>
    <x v="14"/>
    <x v="1"/>
    <n v="0.10344827586206896"/>
    <n v="0"/>
    <n v="0"/>
    <n v="0"/>
    <n v="29"/>
    <n v="0"/>
    <n v="2024"/>
    <n v="2007"/>
    <x v="3"/>
    <x v="1"/>
    <n v="7"/>
    <n v="3"/>
    <n v="0"/>
    <n v="0"/>
    <n v="0"/>
  </r>
  <r>
    <x v="2"/>
    <x v="44"/>
    <x v="1"/>
    <n v="0.10344827586206896"/>
    <n v="0"/>
    <n v="0"/>
    <n v="0"/>
    <n v="29"/>
    <n v="0"/>
    <n v="2024"/>
    <n v="1997"/>
    <x v="7"/>
    <x v="1"/>
    <n v="32"/>
    <n v="3"/>
    <n v="1"/>
    <n v="3"/>
    <n v="0"/>
  </r>
  <r>
    <x v="2"/>
    <x v="3"/>
    <x v="2"/>
    <n v="6.8965517241379309E-2"/>
    <n v="0"/>
    <n v="0"/>
    <n v="0"/>
    <n v="29"/>
    <n v="0"/>
    <n v="2024"/>
    <n v="2009"/>
    <x v="9"/>
    <x v="1"/>
    <n v="10"/>
    <n v="3"/>
    <n v="1"/>
    <n v="0"/>
    <n v="0"/>
  </r>
  <r>
    <x v="2"/>
    <x v="45"/>
    <x v="3"/>
    <n v="3.4482758620689655E-2"/>
    <n v="0"/>
    <n v="0"/>
    <n v="1"/>
    <n v="29"/>
    <n v="1"/>
    <n v="2024"/>
    <n v="2007"/>
    <x v="3"/>
    <x v="1"/>
    <n v="1"/>
    <n v="1"/>
    <n v="1"/>
    <n v="0"/>
    <n v="0"/>
  </r>
  <r>
    <x v="2"/>
    <x v="23"/>
    <x v="3"/>
    <n v="3.4482758620689655E-2"/>
    <n v="0"/>
    <n v="0"/>
    <n v="0"/>
    <n v="29"/>
    <n v="0"/>
    <n v="2024"/>
    <n v="2009"/>
    <x v="9"/>
    <x v="1"/>
    <n v="4"/>
    <n v="2"/>
    <n v="3"/>
    <n v="0"/>
    <n v="0"/>
  </r>
  <r>
    <x v="2"/>
    <x v="25"/>
    <x v="3"/>
    <n v="3.4482758620689655E-2"/>
    <n v="0"/>
    <n v="0"/>
    <n v="0"/>
    <n v="29"/>
    <n v="0"/>
    <n v="2024"/>
    <n v="2008"/>
    <x v="11"/>
    <x v="1"/>
    <n v="4"/>
    <n v="2"/>
    <n v="1"/>
    <n v="0"/>
    <n v="0"/>
  </r>
  <r>
    <x v="2"/>
    <x v="7"/>
    <x v="3"/>
    <n v="3.4482758620689655E-2"/>
    <n v="0"/>
    <n v="0"/>
    <n v="0"/>
    <n v="29"/>
    <n v="0"/>
    <n v="2024"/>
    <n v="2007"/>
    <x v="3"/>
    <x v="1"/>
    <n v="16"/>
    <n v="4"/>
    <n v="0"/>
    <n v="0"/>
    <n v="0"/>
  </r>
  <r>
    <x v="2"/>
    <x v="46"/>
    <x v="3"/>
    <n v="3.4482758620689655E-2"/>
    <n v="0"/>
    <n v="0"/>
    <n v="0"/>
    <n v="29"/>
    <n v="0"/>
    <n v="2024"/>
    <n v="2006"/>
    <x v="8"/>
    <x v="1"/>
    <n v="1"/>
    <n v="1"/>
    <n v="0"/>
    <n v="0"/>
    <n v="0"/>
  </r>
  <r>
    <x v="2"/>
    <x v="16"/>
    <x v="3"/>
    <n v="3.4482758620689655E-2"/>
    <n v="0"/>
    <n v="0"/>
    <n v="0"/>
    <n v="29"/>
    <n v="0"/>
    <n v="2024"/>
    <n v="2005"/>
    <x v="2"/>
    <x v="1"/>
    <n v="10"/>
    <n v="5"/>
    <n v="0"/>
    <n v="0"/>
    <n v="0"/>
  </r>
  <r>
    <x v="3"/>
    <x v="0"/>
    <x v="19"/>
    <n v="1"/>
    <n v="1"/>
    <n v="0"/>
    <n v="11"/>
    <n v="22"/>
    <n v="0.5"/>
    <n v="2023"/>
    <n v="1991"/>
    <x v="15"/>
    <x v="1"/>
    <n v="138"/>
    <n v="9"/>
    <n v="103"/>
    <n v="4"/>
    <n v="0"/>
  </r>
  <r>
    <x v="3"/>
    <x v="34"/>
    <x v="19"/>
    <n v="1"/>
    <n v="2"/>
    <n v="0"/>
    <n v="2"/>
    <n v="22"/>
    <n v="9.0909090909090912E-2"/>
    <n v="2023"/>
    <n v="2002"/>
    <x v="1"/>
    <x v="1"/>
    <n v="151"/>
    <n v="8"/>
    <n v="29"/>
    <n v="9"/>
    <n v="0"/>
  </r>
  <r>
    <x v="3"/>
    <x v="47"/>
    <x v="19"/>
    <n v="1"/>
    <n v="1"/>
    <n v="0"/>
    <n v="0"/>
    <n v="22"/>
    <n v="0"/>
    <n v="2023"/>
    <n v="1996"/>
    <x v="7"/>
    <x v="1"/>
    <n v="105"/>
    <n v="6"/>
    <n v="11"/>
    <n v="1"/>
    <n v="0"/>
  </r>
  <r>
    <x v="3"/>
    <x v="48"/>
    <x v="11"/>
    <n v="0.95454545454545459"/>
    <n v="1"/>
    <n v="0"/>
    <n v="10"/>
    <n v="22"/>
    <n v="0.47619047619047616"/>
    <n v="2023"/>
    <n v="1997"/>
    <x v="13"/>
    <x v="1"/>
    <n v="70"/>
    <n v="4"/>
    <n v="38"/>
    <n v="2"/>
    <n v="0"/>
  </r>
  <r>
    <x v="3"/>
    <x v="44"/>
    <x v="11"/>
    <n v="0.95454545454545459"/>
    <n v="2"/>
    <n v="0"/>
    <n v="1"/>
    <n v="22"/>
    <n v="4.7619047619047616E-2"/>
    <n v="2023"/>
    <n v="1997"/>
    <x v="13"/>
    <x v="1"/>
    <n v="32"/>
    <n v="3"/>
    <n v="1"/>
    <n v="3"/>
    <n v="0"/>
  </r>
  <r>
    <x v="3"/>
    <x v="37"/>
    <x v="11"/>
    <n v="0.95454545454545459"/>
    <n v="2"/>
    <n v="0"/>
    <n v="0"/>
    <n v="22"/>
    <n v="0"/>
    <n v="2023"/>
    <n v="1989"/>
    <x v="14"/>
    <x v="1"/>
    <n v="119"/>
    <n v="6"/>
    <n v="6"/>
    <n v="3"/>
    <n v="1"/>
  </r>
  <r>
    <x v="3"/>
    <x v="19"/>
    <x v="12"/>
    <n v="0.90909090909090906"/>
    <n v="0"/>
    <n v="0"/>
    <n v="8"/>
    <n v="22"/>
    <n v="0.4"/>
    <n v="2023"/>
    <n v="2002"/>
    <x v="1"/>
    <x v="1"/>
    <n v="63"/>
    <n v="5"/>
    <n v="24"/>
    <n v="3"/>
    <n v="0"/>
  </r>
  <r>
    <x v="3"/>
    <x v="12"/>
    <x v="20"/>
    <n v="0.86363636363636365"/>
    <n v="0"/>
    <n v="0"/>
    <n v="6"/>
    <n v="22"/>
    <n v="0.31578947368421051"/>
    <n v="2023"/>
    <n v="2002"/>
    <x v="1"/>
    <x v="1"/>
    <n v="53"/>
    <n v="5"/>
    <n v="25"/>
    <n v="3"/>
    <n v="0"/>
  </r>
  <r>
    <x v="3"/>
    <x v="49"/>
    <x v="21"/>
    <n v="0.72727272727272729"/>
    <n v="0"/>
    <n v="0"/>
    <n v="0"/>
    <n v="22"/>
    <n v="0"/>
    <n v="2023"/>
    <n v="2004"/>
    <x v="2"/>
    <x v="1"/>
    <n v="71"/>
    <n v="5"/>
    <n v="0"/>
    <n v="0"/>
    <n v="0"/>
  </r>
  <r>
    <x v="3"/>
    <x v="50"/>
    <x v="22"/>
    <n v="0.63636363636363635"/>
    <n v="1"/>
    <n v="0"/>
    <n v="4"/>
    <n v="22"/>
    <n v="0.2857142857142857"/>
    <n v="2023"/>
    <n v="2003"/>
    <x v="10"/>
    <x v="1"/>
    <n v="14"/>
    <n v="1"/>
    <n v="4"/>
    <n v="1"/>
    <n v="0"/>
  </r>
  <r>
    <x v="3"/>
    <x v="51"/>
    <x v="22"/>
    <n v="0.63636363636363635"/>
    <n v="0"/>
    <n v="0"/>
    <n v="1"/>
    <n v="22"/>
    <n v="7.1428571428571425E-2"/>
    <n v="2023"/>
    <n v="2008"/>
    <x v="9"/>
    <x v="1"/>
    <n v="14"/>
    <n v="1"/>
    <n v="1"/>
    <n v="0"/>
    <n v="0"/>
  </r>
  <r>
    <x v="3"/>
    <x v="52"/>
    <x v="23"/>
    <n v="0.59090909090909094"/>
    <n v="0"/>
    <n v="0"/>
    <n v="0"/>
    <n v="22"/>
    <n v="0"/>
    <n v="2023"/>
    <n v="1996"/>
    <x v="7"/>
    <x v="1"/>
    <n v="200"/>
    <n v="12"/>
    <n v="9"/>
    <n v="1"/>
    <n v="0"/>
  </r>
  <r>
    <x v="3"/>
    <x v="40"/>
    <x v="24"/>
    <n v="0.54545454545454541"/>
    <n v="0"/>
    <n v="0"/>
    <n v="0"/>
    <n v="22"/>
    <n v="0"/>
    <n v="2023"/>
    <n v="2001"/>
    <x v="12"/>
    <x v="1"/>
    <n v="23"/>
    <n v="2"/>
    <n v="0"/>
    <n v="0"/>
    <n v="0"/>
  </r>
  <r>
    <x v="3"/>
    <x v="39"/>
    <x v="14"/>
    <n v="0.5"/>
    <n v="1"/>
    <n v="0"/>
    <n v="0"/>
    <n v="22"/>
    <n v="0"/>
    <n v="2023"/>
    <n v="2003"/>
    <x v="10"/>
    <x v="1"/>
    <n v="22"/>
    <n v="2"/>
    <n v="3"/>
    <n v="1"/>
    <n v="0"/>
  </r>
  <r>
    <x v="3"/>
    <x v="36"/>
    <x v="14"/>
    <n v="0.5"/>
    <n v="0"/>
    <n v="0"/>
    <n v="0"/>
    <n v="22"/>
    <n v="0"/>
    <n v="2023"/>
    <n v="1999"/>
    <x v="4"/>
    <x v="1"/>
    <n v="36"/>
    <n v="2"/>
    <n v="0"/>
    <n v="0"/>
    <n v="0"/>
  </r>
  <r>
    <x v="3"/>
    <x v="53"/>
    <x v="14"/>
    <n v="0.5"/>
    <n v="0"/>
    <n v="0"/>
    <n v="0"/>
    <n v="22"/>
    <n v="0"/>
    <n v="2023"/>
    <n v="1999"/>
    <x v="4"/>
    <x v="1"/>
    <n v="30"/>
    <n v="3"/>
    <n v="0"/>
    <n v="0"/>
    <n v="0"/>
  </r>
  <r>
    <x v="3"/>
    <x v="7"/>
    <x v="25"/>
    <n v="0.40909090909090912"/>
    <n v="0"/>
    <n v="0"/>
    <n v="0"/>
    <n v="22"/>
    <n v="0"/>
    <n v="2023"/>
    <n v="2007"/>
    <x v="11"/>
    <x v="1"/>
    <n v="16"/>
    <n v="4"/>
    <n v="0"/>
    <n v="0"/>
    <n v="0"/>
  </r>
  <r>
    <x v="3"/>
    <x v="2"/>
    <x v="16"/>
    <n v="0.36363636363636365"/>
    <n v="0"/>
    <n v="0"/>
    <n v="2"/>
    <n v="22"/>
    <n v="0.25"/>
    <n v="2023"/>
    <n v="2007"/>
    <x v="11"/>
    <x v="1"/>
    <n v="43"/>
    <n v="5"/>
    <n v="14"/>
    <n v="1"/>
    <n v="0"/>
  </r>
  <r>
    <x v="3"/>
    <x v="54"/>
    <x v="16"/>
    <n v="0.36363636363636365"/>
    <n v="1"/>
    <n v="0"/>
    <n v="0"/>
    <n v="22"/>
    <n v="0"/>
    <n v="2023"/>
    <n v="1991"/>
    <x v="15"/>
    <x v="1"/>
    <n v="21"/>
    <n v="2"/>
    <n v="2"/>
    <n v="1"/>
    <n v="0"/>
  </r>
  <r>
    <x v="3"/>
    <x v="28"/>
    <x v="16"/>
    <n v="0.36363636363636365"/>
    <n v="0"/>
    <n v="0"/>
    <n v="0"/>
    <n v="22"/>
    <n v="0"/>
    <n v="2023"/>
    <n v="1993"/>
    <x v="19"/>
    <x v="1"/>
    <n v="92"/>
    <n v="7"/>
    <n v="5"/>
    <n v="4"/>
    <n v="0"/>
  </r>
  <r>
    <x v="3"/>
    <x v="55"/>
    <x v="26"/>
    <n v="0.31818181818181818"/>
    <n v="0"/>
    <n v="0"/>
    <n v="0"/>
    <n v="22"/>
    <n v="0"/>
    <n v="2023"/>
    <n v="1994"/>
    <x v="20"/>
    <x v="1"/>
    <n v="7"/>
    <n v="1"/>
    <n v="0"/>
    <n v="0"/>
    <n v="0"/>
  </r>
  <r>
    <x v="3"/>
    <x v="42"/>
    <x v="17"/>
    <n v="0.27272727272727271"/>
    <n v="0"/>
    <n v="0"/>
    <n v="1"/>
    <n v="22"/>
    <n v="0.16666666666666666"/>
    <n v="2023"/>
    <n v="2001"/>
    <x v="12"/>
    <x v="1"/>
    <n v="48"/>
    <n v="8"/>
    <n v="14"/>
    <n v="1"/>
    <n v="0"/>
  </r>
  <r>
    <x v="3"/>
    <x v="8"/>
    <x v="17"/>
    <n v="0.27272727272727271"/>
    <n v="0"/>
    <n v="0"/>
    <n v="0"/>
    <n v="22"/>
    <n v="0"/>
    <n v="2023"/>
    <n v="2007"/>
    <x v="11"/>
    <x v="1"/>
    <n v="41"/>
    <n v="4"/>
    <n v="5"/>
    <n v="0"/>
    <n v="0"/>
  </r>
  <r>
    <x v="3"/>
    <x v="56"/>
    <x v="0"/>
    <n v="0.18181818181818182"/>
    <n v="0"/>
    <n v="0"/>
    <n v="1"/>
    <n v="22"/>
    <n v="0.25"/>
    <n v="2023"/>
    <n v="2006"/>
    <x v="3"/>
    <x v="1"/>
    <n v="4"/>
    <n v="1"/>
    <n v="1"/>
    <n v="0"/>
    <n v="0"/>
  </r>
  <r>
    <x v="3"/>
    <x v="57"/>
    <x v="0"/>
    <n v="0.18181818181818182"/>
    <n v="0"/>
    <n v="0"/>
    <n v="0"/>
    <n v="22"/>
    <n v="0"/>
    <n v="2023"/>
    <n v="2004"/>
    <x v="2"/>
    <x v="1"/>
    <n v="35"/>
    <n v="4"/>
    <n v="1"/>
    <n v="0"/>
    <n v="0"/>
  </r>
  <r>
    <x v="3"/>
    <x v="58"/>
    <x v="0"/>
    <n v="0.18181818181818182"/>
    <n v="0"/>
    <n v="0"/>
    <n v="0"/>
    <n v="22"/>
    <n v="0"/>
    <n v="2023"/>
    <n v="2004"/>
    <x v="2"/>
    <x v="1"/>
    <n v="50"/>
    <n v="5"/>
    <n v="6"/>
    <n v="0"/>
    <n v="0"/>
  </r>
  <r>
    <x v="3"/>
    <x v="43"/>
    <x v="3"/>
    <n v="4.5454545454545456E-2"/>
    <n v="0"/>
    <n v="0"/>
    <n v="0"/>
    <n v="22"/>
    <n v="0"/>
    <n v="2023"/>
    <n v="2008"/>
    <x v="9"/>
    <x v="1"/>
    <n v="5"/>
    <n v="2"/>
    <n v="0"/>
    <n v="0"/>
    <n v="0"/>
  </r>
  <r>
    <x v="3"/>
    <x v="10"/>
    <x v="3"/>
    <n v="4.5454545454545456E-2"/>
    <n v="0"/>
    <n v="0"/>
    <n v="0"/>
    <n v="22"/>
    <n v="0"/>
    <n v="2023"/>
    <n v="1999"/>
    <x v="4"/>
    <x v="1"/>
    <n v="36"/>
    <n v="5"/>
    <n v="0"/>
    <n v="1"/>
    <n v="0"/>
  </r>
  <r>
    <x v="4"/>
    <x v="34"/>
    <x v="5"/>
    <n v="1"/>
    <n v="1"/>
    <n v="0"/>
    <n v="5"/>
    <n v="29"/>
    <n v="0.17241379310344829"/>
    <n v="2022"/>
    <n v="2002"/>
    <x v="10"/>
    <x v="1"/>
    <n v="151"/>
    <n v="8"/>
    <n v="29"/>
    <n v="9"/>
    <n v="0"/>
  </r>
  <r>
    <x v="4"/>
    <x v="52"/>
    <x v="5"/>
    <n v="1"/>
    <n v="0"/>
    <n v="0"/>
    <n v="1"/>
    <n v="29"/>
    <n v="3.4482758620689655E-2"/>
    <n v="2022"/>
    <n v="1996"/>
    <x v="13"/>
    <x v="1"/>
    <n v="200"/>
    <n v="12"/>
    <n v="9"/>
    <n v="1"/>
    <n v="0"/>
  </r>
  <r>
    <x v="4"/>
    <x v="0"/>
    <x v="6"/>
    <n v="0.96551724137931039"/>
    <n v="0"/>
    <n v="0"/>
    <n v="25"/>
    <n v="29"/>
    <n v="0.8928571428571429"/>
    <n v="2022"/>
    <n v="1991"/>
    <x v="17"/>
    <x v="1"/>
    <n v="138"/>
    <n v="9"/>
    <n v="103"/>
    <n v="4"/>
    <n v="0"/>
  </r>
  <r>
    <x v="4"/>
    <x v="48"/>
    <x v="6"/>
    <n v="0.96551724137931039"/>
    <n v="0"/>
    <n v="0"/>
    <n v="22"/>
    <n v="29"/>
    <n v="0.7857142857142857"/>
    <n v="2022"/>
    <n v="1997"/>
    <x v="18"/>
    <x v="1"/>
    <n v="70"/>
    <n v="4"/>
    <n v="38"/>
    <n v="2"/>
    <n v="0"/>
  </r>
  <r>
    <x v="4"/>
    <x v="49"/>
    <x v="6"/>
    <n v="0.96551724137931039"/>
    <n v="0"/>
    <n v="0"/>
    <n v="0"/>
    <n v="29"/>
    <n v="0"/>
    <n v="2022"/>
    <n v="2004"/>
    <x v="8"/>
    <x v="1"/>
    <n v="71"/>
    <n v="5"/>
    <n v="0"/>
    <n v="0"/>
    <n v="0"/>
  </r>
  <r>
    <x v="4"/>
    <x v="37"/>
    <x v="6"/>
    <n v="0.96551724137931039"/>
    <n v="0"/>
    <n v="0"/>
    <n v="0"/>
    <n v="29"/>
    <n v="0"/>
    <n v="2022"/>
    <n v="1989"/>
    <x v="16"/>
    <x v="1"/>
    <n v="119"/>
    <n v="6"/>
    <n v="6"/>
    <n v="3"/>
    <n v="1"/>
  </r>
  <r>
    <x v="4"/>
    <x v="58"/>
    <x v="7"/>
    <n v="0.93103448275862066"/>
    <n v="0"/>
    <n v="0"/>
    <n v="2"/>
    <n v="29"/>
    <n v="7.407407407407407E-2"/>
    <n v="2022"/>
    <n v="2004"/>
    <x v="8"/>
    <x v="1"/>
    <n v="50"/>
    <n v="5"/>
    <n v="6"/>
    <n v="0"/>
    <n v="0"/>
  </r>
  <r>
    <x v="4"/>
    <x v="59"/>
    <x v="7"/>
    <n v="0.93103448275862066"/>
    <n v="2"/>
    <n v="0"/>
    <n v="1"/>
    <n v="29"/>
    <n v="3.7037037037037035E-2"/>
    <n v="2022"/>
    <n v="2004"/>
    <x v="8"/>
    <x v="1"/>
    <n v="30"/>
    <n v="2"/>
    <n v="1"/>
    <n v="2"/>
    <n v="0"/>
  </r>
  <r>
    <x v="4"/>
    <x v="60"/>
    <x v="8"/>
    <n v="0.89655172413793105"/>
    <n v="1"/>
    <n v="0"/>
    <n v="4"/>
    <n v="29"/>
    <n v="0.15384615384615385"/>
    <n v="2022"/>
    <n v="1995"/>
    <x v="7"/>
    <x v="1"/>
    <n v="89"/>
    <n v="5"/>
    <n v="9"/>
    <n v="4"/>
    <n v="0"/>
  </r>
  <r>
    <x v="4"/>
    <x v="61"/>
    <x v="9"/>
    <n v="0.86206896551724133"/>
    <n v="0"/>
    <n v="0"/>
    <n v="34"/>
    <n v="29"/>
    <n v="1.36"/>
    <n v="2022"/>
    <n v="1985"/>
    <x v="21"/>
    <x v="1"/>
    <n v="56"/>
    <n v="3"/>
    <n v="82"/>
    <n v="1"/>
    <n v="0"/>
  </r>
  <r>
    <x v="4"/>
    <x v="28"/>
    <x v="9"/>
    <n v="0.86206896551724133"/>
    <n v="1"/>
    <n v="0"/>
    <n v="0"/>
    <n v="29"/>
    <n v="0"/>
    <n v="2022"/>
    <n v="1993"/>
    <x v="20"/>
    <x v="1"/>
    <n v="92"/>
    <n v="7"/>
    <n v="5"/>
    <n v="4"/>
    <n v="0"/>
  </r>
  <r>
    <x v="4"/>
    <x v="47"/>
    <x v="27"/>
    <n v="0.7931034482758621"/>
    <n v="0"/>
    <n v="0"/>
    <n v="1"/>
    <n v="29"/>
    <n v="4.3478260869565216E-2"/>
    <n v="2022"/>
    <n v="1996"/>
    <x v="13"/>
    <x v="1"/>
    <n v="105"/>
    <n v="6"/>
    <n v="11"/>
    <n v="1"/>
    <n v="0"/>
  </r>
  <r>
    <x v="4"/>
    <x v="62"/>
    <x v="27"/>
    <n v="0.7931034482758621"/>
    <n v="0"/>
    <n v="0"/>
    <n v="0"/>
    <n v="29"/>
    <n v="0"/>
    <n v="2022"/>
    <n v="1997"/>
    <x v="18"/>
    <x v="1"/>
    <n v="74"/>
    <n v="5"/>
    <n v="1"/>
    <n v="1"/>
    <n v="0"/>
  </r>
  <r>
    <x v="4"/>
    <x v="57"/>
    <x v="19"/>
    <n v="0.75862068965517238"/>
    <n v="0"/>
    <n v="0"/>
    <n v="1"/>
    <n v="29"/>
    <n v="4.5454545454545456E-2"/>
    <n v="2022"/>
    <n v="2004"/>
    <x v="8"/>
    <x v="1"/>
    <n v="35"/>
    <n v="4"/>
    <n v="1"/>
    <n v="0"/>
    <n v="0"/>
  </r>
  <r>
    <x v="4"/>
    <x v="19"/>
    <x v="20"/>
    <n v="0.65517241379310343"/>
    <n v="2"/>
    <n v="0"/>
    <n v="6"/>
    <n v="29"/>
    <n v="0.31578947368421051"/>
    <n v="2022"/>
    <n v="2002"/>
    <x v="10"/>
    <x v="1"/>
    <n v="63"/>
    <n v="5"/>
    <n v="24"/>
    <n v="3"/>
    <n v="0"/>
  </r>
  <r>
    <x v="4"/>
    <x v="54"/>
    <x v="23"/>
    <n v="0.44827586206896552"/>
    <n v="0"/>
    <n v="0"/>
    <n v="2"/>
    <n v="29"/>
    <n v="0.15384615384615385"/>
    <n v="2022"/>
    <n v="1991"/>
    <x v="17"/>
    <x v="1"/>
    <n v="21"/>
    <n v="2"/>
    <n v="2"/>
    <n v="1"/>
    <n v="0"/>
  </r>
  <r>
    <x v="4"/>
    <x v="63"/>
    <x v="14"/>
    <n v="0.37931034482758619"/>
    <n v="0"/>
    <n v="0"/>
    <n v="4"/>
    <n v="29"/>
    <n v="0.36363636363636365"/>
    <n v="2022"/>
    <n v="2000"/>
    <x v="12"/>
    <x v="1"/>
    <n v="19"/>
    <n v="2"/>
    <n v="9"/>
    <n v="1"/>
    <n v="0"/>
  </r>
  <r>
    <x v="4"/>
    <x v="12"/>
    <x v="16"/>
    <n v="0.27586206896551724"/>
    <n v="0"/>
    <n v="0"/>
    <n v="1"/>
    <n v="29"/>
    <n v="0.125"/>
    <n v="2022"/>
    <n v="2002"/>
    <x v="10"/>
    <x v="1"/>
    <n v="53"/>
    <n v="5"/>
    <n v="25"/>
    <n v="3"/>
    <n v="0"/>
  </r>
  <r>
    <x v="4"/>
    <x v="64"/>
    <x v="16"/>
    <n v="0.27586206896551724"/>
    <n v="0"/>
    <n v="0"/>
    <n v="0"/>
    <n v="29"/>
    <n v="0"/>
    <n v="2022"/>
    <n v="2003"/>
    <x v="2"/>
    <x v="1"/>
    <n v="27"/>
    <n v="5"/>
    <n v="1"/>
    <n v="0"/>
    <n v="0"/>
  </r>
  <r>
    <x v="4"/>
    <x v="42"/>
    <x v="18"/>
    <n v="0.17241379310344829"/>
    <n v="0"/>
    <n v="0"/>
    <n v="1"/>
    <n v="29"/>
    <n v="0.2"/>
    <n v="2022"/>
    <n v="2001"/>
    <x v="1"/>
    <x v="1"/>
    <n v="48"/>
    <n v="8"/>
    <n v="14"/>
    <n v="1"/>
    <n v="0"/>
  </r>
  <r>
    <x v="4"/>
    <x v="16"/>
    <x v="0"/>
    <n v="0.13793103448275862"/>
    <n v="0"/>
    <n v="0"/>
    <n v="0"/>
    <n v="29"/>
    <n v="0"/>
    <n v="2022"/>
    <n v="2005"/>
    <x v="3"/>
    <x v="1"/>
    <n v="10"/>
    <n v="5"/>
    <n v="0"/>
    <n v="0"/>
    <n v="0"/>
  </r>
  <r>
    <x v="4"/>
    <x v="65"/>
    <x v="1"/>
    <n v="0.10344827586206896"/>
    <n v="0"/>
    <n v="0"/>
    <n v="0"/>
    <n v="29"/>
    <n v="0"/>
    <n v="2022"/>
    <n v="1991"/>
    <x v="17"/>
    <x v="1"/>
    <n v="7"/>
    <n v="3"/>
    <n v="1"/>
    <n v="0"/>
    <n v="0"/>
  </r>
  <r>
    <x v="4"/>
    <x v="66"/>
    <x v="2"/>
    <n v="6.8965517241379309E-2"/>
    <n v="0"/>
    <n v="0"/>
    <n v="0"/>
    <n v="29"/>
    <n v="0"/>
    <n v="2022"/>
    <n v="2004"/>
    <x v="8"/>
    <x v="1"/>
    <n v="2"/>
    <n v="1"/>
    <n v="0"/>
    <n v="0"/>
    <n v="0"/>
  </r>
  <r>
    <x v="4"/>
    <x v="67"/>
    <x v="2"/>
    <n v="6.8965517241379309E-2"/>
    <n v="0"/>
    <n v="0"/>
    <n v="0"/>
    <n v="29"/>
    <n v="0"/>
    <n v="2022"/>
    <n v="1991"/>
    <x v="17"/>
    <x v="1"/>
    <n v="63"/>
    <n v="5"/>
    <n v="11"/>
    <n v="0"/>
    <n v="0"/>
  </r>
  <r>
    <x v="4"/>
    <x v="2"/>
    <x v="3"/>
    <n v="3.4482758620689655E-2"/>
    <n v="0"/>
    <n v="0"/>
    <n v="0"/>
    <n v="29"/>
    <n v="0"/>
    <n v="2022"/>
    <n v="2007"/>
    <x v="9"/>
    <x v="1"/>
    <n v="43"/>
    <n v="5"/>
    <n v="14"/>
    <n v="1"/>
    <n v="0"/>
  </r>
  <r>
    <x v="4"/>
    <x v="68"/>
    <x v="3"/>
    <n v="3.4482758620689655E-2"/>
    <n v="0"/>
    <n v="0"/>
    <n v="0"/>
    <n v="29"/>
    <n v="0"/>
    <n v="2022"/>
    <n v="2004"/>
    <x v="8"/>
    <x v="1"/>
    <n v="3"/>
    <n v="2"/>
    <n v="0"/>
    <n v="0"/>
    <n v="0"/>
  </r>
  <r>
    <x v="4"/>
    <x v="69"/>
    <x v="3"/>
    <n v="3.4482758620689655E-2"/>
    <n v="0"/>
    <n v="0"/>
    <n v="0"/>
    <n v="29"/>
    <n v="0"/>
    <n v="2022"/>
    <n v="2004"/>
    <x v="8"/>
    <x v="1"/>
    <n v="1"/>
    <n v="1"/>
    <n v="0"/>
    <n v="0"/>
    <n v="0"/>
  </r>
  <r>
    <x v="4"/>
    <x v="70"/>
    <x v="3"/>
    <n v="3.4482758620689655E-2"/>
    <n v="0"/>
    <n v="0"/>
    <n v="0"/>
    <n v="29"/>
    <n v="0"/>
    <n v="2022"/>
    <n v="2004"/>
    <x v="8"/>
    <x v="1"/>
    <n v="1"/>
    <n v="1"/>
    <n v="0"/>
    <n v="0"/>
    <n v="0"/>
  </r>
  <r>
    <x v="4"/>
    <x v="10"/>
    <x v="3"/>
    <n v="3.4482758620689655E-2"/>
    <n v="0"/>
    <n v="0"/>
    <n v="0"/>
    <n v="29"/>
    <n v="0"/>
    <n v="2022"/>
    <n v="1999"/>
    <x v="5"/>
    <x v="1"/>
    <n v="36"/>
    <n v="5"/>
    <n v="0"/>
    <n v="1"/>
    <n v="0"/>
  </r>
  <r>
    <x v="5"/>
    <x v="48"/>
    <x v="14"/>
    <n v="1"/>
    <n v="0"/>
    <n v="0"/>
    <n v="6"/>
    <n v="11"/>
    <n v="0.54545454545454541"/>
    <n v="2021"/>
    <n v="1997"/>
    <x v="4"/>
    <x v="1"/>
    <n v="70"/>
    <n v="4"/>
    <n v="38"/>
    <n v="2"/>
    <n v="0"/>
  </r>
  <r>
    <x v="5"/>
    <x v="58"/>
    <x v="14"/>
    <n v="1"/>
    <n v="0"/>
    <n v="0"/>
    <n v="4"/>
    <n v="11"/>
    <n v="0.36363636363636365"/>
    <n v="2021"/>
    <n v="2004"/>
    <x v="3"/>
    <x v="1"/>
    <n v="50"/>
    <n v="5"/>
    <n v="6"/>
    <n v="0"/>
    <n v="0"/>
  </r>
  <r>
    <x v="5"/>
    <x v="0"/>
    <x v="14"/>
    <n v="1"/>
    <n v="0"/>
    <n v="0"/>
    <n v="4"/>
    <n v="11"/>
    <n v="0.36363636363636365"/>
    <n v="2021"/>
    <n v="1991"/>
    <x v="19"/>
    <x v="1"/>
    <n v="138"/>
    <n v="9"/>
    <n v="103"/>
    <n v="4"/>
    <n v="0"/>
  </r>
  <r>
    <x v="5"/>
    <x v="34"/>
    <x v="14"/>
    <n v="1"/>
    <n v="0"/>
    <n v="0"/>
    <n v="3"/>
    <n v="11"/>
    <n v="0.27272727272727271"/>
    <n v="2021"/>
    <n v="2002"/>
    <x v="2"/>
    <x v="1"/>
    <n v="151"/>
    <n v="8"/>
    <n v="29"/>
    <n v="9"/>
    <n v="0"/>
  </r>
  <r>
    <x v="5"/>
    <x v="60"/>
    <x v="14"/>
    <n v="1"/>
    <n v="1"/>
    <n v="0"/>
    <n v="1"/>
    <n v="11"/>
    <n v="9.0909090909090912E-2"/>
    <n v="2021"/>
    <n v="1995"/>
    <x v="13"/>
    <x v="1"/>
    <n v="89"/>
    <n v="5"/>
    <n v="9"/>
    <n v="4"/>
    <n v="0"/>
  </r>
  <r>
    <x v="5"/>
    <x v="52"/>
    <x v="14"/>
    <n v="1"/>
    <n v="1"/>
    <n v="0"/>
    <n v="0"/>
    <n v="11"/>
    <n v="0"/>
    <n v="2021"/>
    <n v="1996"/>
    <x v="18"/>
    <x v="1"/>
    <n v="200"/>
    <n v="12"/>
    <n v="9"/>
    <n v="1"/>
    <n v="0"/>
  </r>
  <r>
    <x v="5"/>
    <x v="49"/>
    <x v="15"/>
    <n v="0.90909090909090906"/>
    <n v="0"/>
    <n v="0"/>
    <n v="0"/>
    <n v="11"/>
    <n v="0"/>
    <n v="2021"/>
    <n v="2004"/>
    <x v="3"/>
    <x v="1"/>
    <n v="71"/>
    <n v="5"/>
    <n v="0"/>
    <n v="0"/>
    <n v="0"/>
  </r>
  <r>
    <x v="5"/>
    <x v="53"/>
    <x v="15"/>
    <n v="0.90909090909090906"/>
    <n v="0"/>
    <n v="0"/>
    <n v="0"/>
    <n v="11"/>
    <n v="0"/>
    <n v="2021"/>
    <n v="1999"/>
    <x v="12"/>
    <x v="1"/>
    <n v="30"/>
    <n v="3"/>
    <n v="0"/>
    <n v="0"/>
    <n v="0"/>
  </r>
  <r>
    <x v="5"/>
    <x v="10"/>
    <x v="15"/>
    <n v="0.90909090909090906"/>
    <n v="0"/>
    <n v="0"/>
    <n v="0"/>
    <n v="11"/>
    <n v="0"/>
    <n v="2021"/>
    <n v="1999"/>
    <x v="12"/>
    <x v="1"/>
    <n v="36"/>
    <n v="5"/>
    <n v="0"/>
    <n v="1"/>
    <n v="0"/>
  </r>
  <r>
    <x v="5"/>
    <x v="71"/>
    <x v="25"/>
    <n v="0.81818181818181823"/>
    <n v="0"/>
    <n v="0"/>
    <n v="9"/>
    <n v="11"/>
    <n v="1"/>
    <n v="2021"/>
    <n v="2001"/>
    <x v="10"/>
    <x v="1"/>
    <n v="9"/>
    <n v="1"/>
    <n v="9"/>
    <n v="0"/>
    <n v="0"/>
  </r>
  <r>
    <x v="5"/>
    <x v="64"/>
    <x v="25"/>
    <n v="0.81818181818181823"/>
    <n v="0"/>
    <n v="0"/>
    <n v="0"/>
    <n v="11"/>
    <n v="0"/>
    <n v="2021"/>
    <n v="2003"/>
    <x v="8"/>
    <x v="1"/>
    <n v="27"/>
    <n v="5"/>
    <n v="1"/>
    <n v="0"/>
    <n v="0"/>
  </r>
  <r>
    <x v="5"/>
    <x v="47"/>
    <x v="25"/>
    <n v="0.81818181818181823"/>
    <n v="0"/>
    <n v="0"/>
    <n v="0"/>
    <n v="11"/>
    <n v="0"/>
    <n v="2021"/>
    <n v="1996"/>
    <x v="18"/>
    <x v="1"/>
    <n v="105"/>
    <n v="6"/>
    <n v="11"/>
    <n v="1"/>
    <n v="0"/>
  </r>
  <r>
    <x v="5"/>
    <x v="28"/>
    <x v="25"/>
    <n v="0.81818181818181823"/>
    <n v="0"/>
    <n v="0"/>
    <n v="0"/>
    <n v="11"/>
    <n v="0"/>
    <n v="2021"/>
    <n v="1993"/>
    <x v="22"/>
    <x v="1"/>
    <n v="92"/>
    <n v="7"/>
    <n v="5"/>
    <n v="4"/>
    <n v="0"/>
  </r>
  <r>
    <x v="5"/>
    <x v="62"/>
    <x v="16"/>
    <n v="0.72727272727272729"/>
    <n v="0"/>
    <n v="0"/>
    <n v="0"/>
    <n v="11"/>
    <n v="0"/>
    <n v="2021"/>
    <n v="1997"/>
    <x v="4"/>
    <x v="1"/>
    <n v="74"/>
    <n v="5"/>
    <n v="1"/>
    <n v="1"/>
    <n v="0"/>
  </r>
  <r>
    <x v="5"/>
    <x v="57"/>
    <x v="17"/>
    <n v="0.54545454545454541"/>
    <n v="0"/>
    <n v="0"/>
    <n v="0"/>
    <n v="11"/>
    <n v="0"/>
    <n v="2021"/>
    <n v="2004"/>
    <x v="3"/>
    <x v="1"/>
    <n v="35"/>
    <n v="4"/>
    <n v="1"/>
    <n v="0"/>
    <n v="0"/>
  </r>
  <r>
    <x v="5"/>
    <x v="72"/>
    <x v="0"/>
    <n v="0.36363636363636365"/>
    <n v="0"/>
    <n v="0"/>
    <n v="0"/>
    <n v="11"/>
    <n v="0"/>
    <n v="2021"/>
    <n v="2001"/>
    <x v="10"/>
    <x v="1"/>
    <n v="12"/>
    <n v="3"/>
    <n v="0"/>
    <n v="0"/>
    <n v="0"/>
  </r>
  <r>
    <x v="5"/>
    <x v="73"/>
    <x v="1"/>
    <n v="0.27272727272727271"/>
    <n v="0"/>
    <n v="0"/>
    <n v="0"/>
    <n v="11"/>
    <n v="0"/>
    <n v="2021"/>
    <n v="2005"/>
    <x v="11"/>
    <x v="1"/>
    <n v="3"/>
    <n v="1"/>
    <n v="0"/>
    <n v="0"/>
    <n v="0"/>
  </r>
  <r>
    <x v="5"/>
    <x v="59"/>
    <x v="1"/>
    <n v="0.27272727272727271"/>
    <n v="0"/>
    <n v="0"/>
    <n v="0"/>
    <n v="11"/>
    <n v="0"/>
    <n v="2021"/>
    <n v="2004"/>
    <x v="3"/>
    <x v="1"/>
    <n v="30"/>
    <n v="2"/>
    <n v="1"/>
    <n v="2"/>
    <n v="0"/>
  </r>
  <r>
    <x v="5"/>
    <x v="74"/>
    <x v="1"/>
    <n v="0.27272727272727271"/>
    <n v="0"/>
    <n v="0"/>
    <n v="0"/>
    <n v="11"/>
    <n v="0"/>
    <n v="2021"/>
    <n v="2001"/>
    <x v="10"/>
    <x v="1"/>
    <n v="5"/>
    <n v="3"/>
    <n v="0"/>
    <n v="0"/>
    <n v="0"/>
  </r>
  <r>
    <x v="5"/>
    <x v="42"/>
    <x v="2"/>
    <n v="0.18181818181818182"/>
    <n v="0"/>
    <n v="0"/>
    <n v="1"/>
    <n v="11"/>
    <n v="0.5"/>
    <n v="2021"/>
    <n v="2001"/>
    <x v="10"/>
    <x v="1"/>
    <n v="48"/>
    <n v="8"/>
    <n v="14"/>
    <n v="1"/>
    <n v="0"/>
  </r>
  <r>
    <x v="5"/>
    <x v="16"/>
    <x v="2"/>
    <n v="0.18181818181818182"/>
    <n v="0"/>
    <n v="0"/>
    <n v="0"/>
    <n v="11"/>
    <n v="0"/>
    <n v="2021"/>
    <n v="2005"/>
    <x v="11"/>
    <x v="1"/>
    <n v="10"/>
    <n v="5"/>
    <n v="0"/>
    <n v="0"/>
    <n v="0"/>
  </r>
  <r>
    <x v="5"/>
    <x v="68"/>
    <x v="2"/>
    <n v="0.18181818181818182"/>
    <n v="0"/>
    <n v="0"/>
    <n v="0"/>
    <n v="11"/>
    <n v="0"/>
    <n v="2021"/>
    <n v="2004"/>
    <x v="3"/>
    <x v="1"/>
    <n v="3"/>
    <n v="2"/>
    <n v="0"/>
    <n v="0"/>
    <n v="0"/>
  </r>
  <r>
    <x v="5"/>
    <x v="75"/>
    <x v="2"/>
    <n v="0.18181818181818182"/>
    <n v="0"/>
    <n v="0"/>
    <n v="0"/>
    <n v="11"/>
    <n v="0"/>
    <n v="2021"/>
    <n v="2001"/>
    <x v="10"/>
    <x v="1"/>
    <n v="14"/>
    <n v="3"/>
    <n v="1"/>
    <n v="0"/>
    <n v="0"/>
  </r>
  <r>
    <x v="5"/>
    <x v="76"/>
    <x v="3"/>
    <n v="9.0909090909090912E-2"/>
    <n v="0"/>
    <n v="0"/>
    <n v="0"/>
    <n v="11"/>
    <n v="0"/>
    <n v="2021"/>
    <n v="1997"/>
    <x v="4"/>
    <x v="1"/>
    <n v="1"/>
    <n v="1"/>
    <n v="0"/>
    <n v="0"/>
    <n v="0"/>
  </r>
  <r>
    <x v="6"/>
    <x v="34"/>
    <x v="15"/>
    <n v="1"/>
    <n v="2"/>
    <n v="0"/>
    <n v="1"/>
    <n v="10"/>
    <n v="0.1"/>
    <n v="2020"/>
    <n v="2002"/>
    <x v="8"/>
    <x v="2"/>
    <n v="151"/>
    <n v="8"/>
    <n v="29"/>
    <n v="9"/>
    <n v="0"/>
  </r>
  <r>
    <x v="6"/>
    <x v="77"/>
    <x v="15"/>
    <n v="1"/>
    <n v="1"/>
    <n v="0"/>
    <n v="0"/>
    <n v="10"/>
    <n v="0"/>
    <n v="2020"/>
    <n v="1998"/>
    <x v="12"/>
    <x v="2"/>
    <n v="36"/>
    <n v="2"/>
    <n v="4"/>
    <n v="1"/>
    <n v="0"/>
  </r>
  <r>
    <x v="6"/>
    <x v="48"/>
    <x v="15"/>
    <n v="1"/>
    <n v="1"/>
    <n v="0"/>
    <n v="0"/>
    <n v="10"/>
    <n v="0"/>
    <n v="2020"/>
    <n v="1997"/>
    <x v="5"/>
    <x v="2"/>
    <n v="70"/>
    <n v="4"/>
    <n v="38"/>
    <n v="2"/>
    <n v="0"/>
  </r>
  <r>
    <x v="6"/>
    <x v="52"/>
    <x v="15"/>
    <n v="1"/>
    <n v="0"/>
    <n v="0"/>
    <n v="0"/>
    <n v="10"/>
    <n v="0"/>
    <n v="2020"/>
    <n v="1996"/>
    <x v="4"/>
    <x v="2"/>
    <n v="200"/>
    <n v="12"/>
    <n v="9"/>
    <n v="1"/>
    <n v="0"/>
  </r>
  <r>
    <x v="6"/>
    <x v="61"/>
    <x v="25"/>
    <n v="0.9"/>
    <n v="0"/>
    <n v="0"/>
    <n v="6"/>
    <n v="10"/>
    <n v="0.66666666666666663"/>
    <n v="2020"/>
    <n v="1985"/>
    <x v="0"/>
    <x v="2"/>
    <n v="56"/>
    <n v="3"/>
    <n v="82"/>
    <n v="1"/>
    <n v="0"/>
  </r>
  <r>
    <x v="6"/>
    <x v="60"/>
    <x v="25"/>
    <n v="0.9"/>
    <n v="1"/>
    <n v="0"/>
    <n v="0"/>
    <n v="10"/>
    <n v="0"/>
    <n v="2020"/>
    <n v="1995"/>
    <x v="18"/>
    <x v="2"/>
    <n v="89"/>
    <n v="5"/>
    <n v="9"/>
    <n v="4"/>
    <n v="0"/>
  </r>
  <r>
    <x v="6"/>
    <x v="53"/>
    <x v="25"/>
    <n v="0.9"/>
    <n v="0"/>
    <n v="0"/>
    <n v="0"/>
    <n v="10"/>
    <n v="0"/>
    <n v="2020"/>
    <n v="1999"/>
    <x v="1"/>
    <x v="2"/>
    <n v="30"/>
    <n v="3"/>
    <n v="0"/>
    <n v="0"/>
    <n v="0"/>
  </r>
  <r>
    <x v="6"/>
    <x v="47"/>
    <x v="25"/>
    <n v="0.9"/>
    <n v="0"/>
    <n v="0"/>
    <n v="0"/>
    <n v="10"/>
    <n v="0"/>
    <n v="2021"/>
    <n v="1996"/>
    <x v="4"/>
    <x v="2"/>
    <n v="105"/>
    <n v="6"/>
    <n v="11"/>
    <n v="1"/>
    <n v="0"/>
  </r>
  <r>
    <x v="6"/>
    <x v="67"/>
    <x v="16"/>
    <n v="0.8"/>
    <n v="0"/>
    <n v="0"/>
    <n v="0"/>
    <n v="10"/>
    <n v="0"/>
    <n v="2020"/>
    <n v="1991"/>
    <x v="20"/>
    <x v="2"/>
    <n v="63"/>
    <n v="5"/>
    <n v="11"/>
    <n v="0"/>
    <n v="0"/>
  </r>
  <r>
    <x v="6"/>
    <x v="42"/>
    <x v="26"/>
    <n v="0.7"/>
    <n v="1"/>
    <n v="0"/>
    <n v="1"/>
    <n v="10"/>
    <n v="0.14285714285714285"/>
    <n v="2020"/>
    <n v="2001"/>
    <x v="2"/>
    <x v="2"/>
    <n v="48"/>
    <n v="8"/>
    <n v="14"/>
    <n v="1"/>
    <n v="0"/>
  </r>
  <r>
    <x v="6"/>
    <x v="49"/>
    <x v="26"/>
    <n v="0.7"/>
    <n v="0"/>
    <n v="0"/>
    <n v="0"/>
    <n v="10"/>
    <n v="0"/>
    <n v="2020"/>
    <n v="2004"/>
    <x v="11"/>
    <x v="2"/>
    <n v="71"/>
    <n v="5"/>
    <n v="0"/>
    <n v="0"/>
    <n v="0"/>
  </r>
  <r>
    <x v="6"/>
    <x v="78"/>
    <x v="17"/>
    <n v="0.6"/>
    <n v="1"/>
    <n v="0"/>
    <n v="0"/>
    <n v="10"/>
    <n v="0"/>
    <n v="2020"/>
    <n v="1998"/>
    <x v="12"/>
    <x v="2"/>
    <n v="46"/>
    <n v="3"/>
    <n v="3"/>
    <n v="5"/>
    <n v="0"/>
  </r>
  <r>
    <x v="6"/>
    <x v="79"/>
    <x v="17"/>
    <n v="0.6"/>
    <n v="0"/>
    <n v="0"/>
    <n v="0"/>
    <n v="10"/>
    <n v="0"/>
    <n v="2020"/>
    <n v="1996"/>
    <x v="4"/>
    <x v="2"/>
    <n v="121"/>
    <n v="9"/>
    <n v="13"/>
    <n v="2"/>
    <n v="1"/>
  </r>
  <r>
    <x v="6"/>
    <x v="37"/>
    <x v="18"/>
    <n v="0.5"/>
    <n v="0"/>
    <n v="0"/>
    <n v="0"/>
    <n v="10"/>
    <n v="0"/>
    <n v="2020"/>
    <n v="1989"/>
    <x v="17"/>
    <x v="2"/>
    <n v="119"/>
    <n v="6"/>
    <n v="6"/>
    <n v="3"/>
    <n v="1"/>
  </r>
  <r>
    <x v="6"/>
    <x v="80"/>
    <x v="0"/>
    <n v="0.4"/>
    <n v="0"/>
    <n v="0"/>
    <n v="0"/>
    <n v="10"/>
    <n v="0"/>
    <n v="2020"/>
    <n v="2003"/>
    <x v="3"/>
    <x v="2"/>
    <n v="16"/>
    <n v="3"/>
    <n v="0"/>
    <n v="0"/>
    <n v="0"/>
  </r>
  <r>
    <x v="6"/>
    <x v="72"/>
    <x v="0"/>
    <n v="0.4"/>
    <n v="0"/>
    <n v="0"/>
    <n v="0"/>
    <n v="10"/>
    <n v="0"/>
    <n v="2020"/>
    <n v="2001"/>
    <x v="2"/>
    <x v="2"/>
    <n v="12"/>
    <n v="3"/>
    <n v="0"/>
    <n v="0"/>
    <n v="0"/>
  </r>
  <r>
    <x v="6"/>
    <x v="9"/>
    <x v="0"/>
    <n v="0.4"/>
    <n v="0"/>
    <n v="0"/>
    <n v="0"/>
    <n v="10"/>
    <n v="0"/>
    <n v="2020"/>
    <n v="1985"/>
    <x v="0"/>
    <x v="2"/>
    <n v="25"/>
    <n v="3"/>
    <n v="0"/>
    <n v="0"/>
    <n v="0"/>
  </r>
  <r>
    <x v="6"/>
    <x v="57"/>
    <x v="1"/>
    <n v="0.3"/>
    <n v="0"/>
    <n v="0"/>
    <n v="0"/>
    <n v="10"/>
    <n v="0"/>
    <n v="2020"/>
    <n v="2004"/>
    <x v="11"/>
    <x v="2"/>
    <n v="35"/>
    <n v="4"/>
    <n v="1"/>
    <n v="0"/>
    <n v="0"/>
  </r>
  <r>
    <x v="6"/>
    <x v="0"/>
    <x v="2"/>
    <n v="0.2"/>
    <n v="1"/>
    <n v="0"/>
    <n v="2"/>
    <n v="10"/>
    <n v="1"/>
    <n v="2020"/>
    <n v="1991"/>
    <x v="20"/>
    <x v="2"/>
    <n v="138"/>
    <n v="9"/>
    <n v="103"/>
    <n v="4"/>
    <n v="0"/>
  </r>
  <r>
    <x v="6"/>
    <x v="15"/>
    <x v="2"/>
    <n v="0.2"/>
    <n v="0"/>
    <n v="0"/>
    <n v="0"/>
    <n v="10"/>
    <n v="0"/>
    <n v="2020"/>
    <n v="2006"/>
    <x v="23"/>
    <x v="2"/>
    <n v="4"/>
    <n v="2"/>
    <n v="0"/>
    <n v="1"/>
    <n v="0"/>
  </r>
  <r>
    <x v="6"/>
    <x v="58"/>
    <x v="2"/>
    <n v="0.2"/>
    <n v="0"/>
    <n v="0"/>
    <n v="0"/>
    <n v="10"/>
    <n v="0"/>
    <n v="2020"/>
    <n v="2004"/>
    <x v="11"/>
    <x v="2"/>
    <n v="50"/>
    <n v="5"/>
    <n v="6"/>
    <n v="0"/>
    <n v="0"/>
  </r>
  <r>
    <x v="6"/>
    <x v="81"/>
    <x v="3"/>
    <n v="0.1"/>
    <n v="0"/>
    <n v="0"/>
    <n v="0"/>
    <n v="10"/>
    <n v="0"/>
    <n v="2020"/>
    <n v="2005"/>
    <x v="9"/>
    <x v="2"/>
    <n v="1"/>
    <n v="1"/>
    <n v="0"/>
    <n v="0"/>
    <n v="0"/>
  </r>
  <r>
    <x v="6"/>
    <x v="64"/>
    <x v="3"/>
    <n v="0.1"/>
    <n v="0"/>
    <n v="0"/>
    <n v="0"/>
    <n v="10"/>
    <n v="0"/>
    <n v="2020"/>
    <n v="2003"/>
    <x v="3"/>
    <x v="2"/>
    <n v="27"/>
    <n v="5"/>
    <n v="1"/>
    <n v="0"/>
    <n v="0"/>
  </r>
  <r>
    <x v="6"/>
    <x v="82"/>
    <x v="3"/>
    <n v="0.1"/>
    <n v="0"/>
    <n v="0"/>
    <n v="0"/>
    <n v="10"/>
    <n v="0"/>
    <n v="2020"/>
    <n v="2001"/>
    <x v="2"/>
    <x v="2"/>
    <n v="8"/>
    <n v="3"/>
    <n v="0"/>
    <n v="0"/>
    <n v="0"/>
  </r>
  <r>
    <x v="6"/>
    <x v="65"/>
    <x v="3"/>
    <n v="0.1"/>
    <n v="0"/>
    <n v="0"/>
    <n v="0"/>
    <n v="10"/>
    <n v="0"/>
    <n v="2020"/>
    <n v="1991"/>
    <x v="20"/>
    <x v="2"/>
    <n v="7"/>
    <n v="3"/>
    <n v="1"/>
    <n v="0"/>
    <n v="0"/>
  </r>
  <r>
    <x v="7"/>
    <x v="77"/>
    <x v="8"/>
    <n v="1"/>
    <n v="0"/>
    <n v="0"/>
    <n v="4"/>
    <n v="26"/>
    <n v="0.15384615384615385"/>
    <n v="2019"/>
    <n v="1998"/>
    <x v="1"/>
    <x v="1"/>
    <n v="36"/>
    <n v="2"/>
    <n v="4"/>
    <n v="1"/>
    <n v="0"/>
  </r>
  <r>
    <x v="7"/>
    <x v="78"/>
    <x v="8"/>
    <n v="1"/>
    <n v="2"/>
    <n v="0"/>
    <n v="1"/>
    <n v="26"/>
    <n v="3.8461538461538464E-2"/>
    <n v="2019"/>
    <n v="1998"/>
    <x v="1"/>
    <x v="1"/>
    <n v="46"/>
    <n v="3"/>
    <n v="3"/>
    <n v="5"/>
    <n v="0"/>
  </r>
  <r>
    <x v="7"/>
    <x v="60"/>
    <x v="8"/>
    <n v="1"/>
    <n v="1"/>
    <n v="0"/>
    <n v="1"/>
    <n v="26"/>
    <n v="3.8461538461538464E-2"/>
    <n v="2019"/>
    <n v="1995"/>
    <x v="4"/>
    <x v="1"/>
    <n v="89"/>
    <n v="5"/>
    <n v="9"/>
    <n v="4"/>
    <n v="0"/>
  </r>
  <r>
    <x v="7"/>
    <x v="0"/>
    <x v="9"/>
    <n v="0.96153846153846156"/>
    <n v="1"/>
    <n v="0"/>
    <n v="19"/>
    <n v="26"/>
    <n v="0.76"/>
    <n v="2019"/>
    <n v="1991"/>
    <x v="22"/>
    <x v="1"/>
    <n v="138"/>
    <n v="9"/>
    <n v="103"/>
    <n v="4"/>
    <n v="0"/>
  </r>
  <r>
    <x v="7"/>
    <x v="34"/>
    <x v="9"/>
    <n v="0.96153846153846156"/>
    <n v="0"/>
    <n v="0"/>
    <n v="7"/>
    <n v="26"/>
    <n v="0.28000000000000003"/>
    <n v="2019"/>
    <n v="2002"/>
    <x v="3"/>
    <x v="1"/>
    <n v="151"/>
    <n v="8"/>
    <n v="29"/>
    <n v="9"/>
    <n v="0"/>
  </r>
  <r>
    <x v="7"/>
    <x v="47"/>
    <x v="9"/>
    <n v="0.96153846153846156"/>
    <n v="0"/>
    <n v="0"/>
    <n v="7"/>
    <n v="26"/>
    <n v="0.28000000000000003"/>
    <n v="2019"/>
    <n v="1996"/>
    <x v="5"/>
    <x v="1"/>
    <n v="105"/>
    <n v="6"/>
    <n v="11"/>
    <n v="1"/>
    <n v="0"/>
  </r>
  <r>
    <x v="7"/>
    <x v="52"/>
    <x v="9"/>
    <n v="0.96153846153846156"/>
    <n v="0"/>
    <n v="0"/>
    <n v="0"/>
    <n v="26"/>
    <n v="0"/>
    <n v="2019"/>
    <n v="1996"/>
    <x v="5"/>
    <x v="1"/>
    <n v="200"/>
    <n v="12"/>
    <n v="9"/>
    <n v="1"/>
    <n v="0"/>
  </r>
  <r>
    <x v="7"/>
    <x v="37"/>
    <x v="10"/>
    <n v="0.92307692307692313"/>
    <n v="0"/>
    <n v="0"/>
    <n v="1"/>
    <n v="26"/>
    <n v="4.1666666666666664E-2"/>
    <n v="2019"/>
    <n v="1989"/>
    <x v="19"/>
    <x v="1"/>
    <n v="119"/>
    <n v="6"/>
    <n v="6"/>
    <n v="3"/>
    <n v="1"/>
  </r>
  <r>
    <x v="7"/>
    <x v="61"/>
    <x v="19"/>
    <n v="0.84615384615384615"/>
    <n v="1"/>
    <n v="0"/>
    <n v="42"/>
    <n v="26"/>
    <n v="1.9090909090909092"/>
    <n v="2019"/>
    <n v="1985"/>
    <x v="14"/>
    <x v="1"/>
    <n v="56"/>
    <n v="3"/>
    <n v="82"/>
    <n v="1"/>
    <n v="0"/>
  </r>
  <r>
    <x v="7"/>
    <x v="83"/>
    <x v="19"/>
    <n v="0.84615384615384615"/>
    <n v="4"/>
    <n v="0"/>
    <n v="13"/>
    <n v="26"/>
    <n v="0.59090909090909094"/>
    <n v="2019"/>
    <n v="1985"/>
    <x v="14"/>
    <x v="1"/>
    <n v="48"/>
    <n v="3"/>
    <n v="53"/>
    <n v="7"/>
    <n v="0"/>
  </r>
  <r>
    <x v="7"/>
    <x v="67"/>
    <x v="11"/>
    <n v="0.80769230769230771"/>
    <n v="0"/>
    <n v="0"/>
    <n v="5"/>
    <n v="26"/>
    <n v="0.23809523809523808"/>
    <n v="2019"/>
    <n v="1991"/>
    <x v="22"/>
    <x v="1"/>
    <n v="63"/>
    <n v="5"/>
    <n v="11"/>
    <n v="0"/>
    <n v="0"/>
  </r>
  <r>
    <x v="7"/>
    <x v="79"/>
    <x v="11"/>
    <n v="0.80769230769230771"/>
    <n v="0"/>
    <n v="0"/>
    <n v="0"/>
    <n v="26"/>
    <n v="0"/>
    <n v="2019"/>
    <n v="1996"/>
    <x v="5"/>
    <x v="1"/>
    <n v="121"/>
    <n v="9"/>
    <n v="13"/>
    <n v="2"/>
    <n v="1"/>
  </r>
  <r>
    <x v="7"/>
    <x v="84"/>
    <x v="20"/>
    <n v="0.73076923076923073"/>
    <n v="0"/>
    <n v="0"/>
    <n v="8"/>
    <n v="26"/>
    <n v="0.42105263157894735"/>
    <n v="2019"/>
    <n v="1998"/>
    <x v="1"/>
    <x v="1"/>
    <n v="19"/>
    <n v="1"/>
    <n v="8"/>
    <n v="0"/>
    <n v="0"/>
  </r>
  <r>
    <x v="7"/>
    <x v="85"/>
    <x v="28"/>
    <n v="0.65384615384615385"/>
    <n v="0"/>
    <n v="0"/>
    <n v="13"/>
    <n v="26"/>
    <n v="0.76470588235294112"/>
    <n v="2019"/>
    <n v="1990"/>
    <x v="20"/>
    <x v="1"/>
    <n v="17"/>
    <n v="1"/>
    <n v="13"/>
    <n v="0"/>
    <n v="0"/>
  </r>
  <r>
    <x v="7"/>
    <x v="86"/>
    <x v="28"/>
    <n v="0.65384615384615385"/>
    <n v="1"/>
    <n v="0"/>
    <n v="0"/>
    <n v="26"/>
    <n v="0"/>
    <n v="2019"/>
    <n v="2000"/>
    <x v="2"/>
    <x v="1"/>
    <n v="80"/>
    <n v="5"/>
    <n v="0"/>
    <n v="1"/>
    <n v="0"/>
  </r>
  <r>
    <x v="7"/>
    <x v="49"/>
    <x v="15"/>
    <n v="0.38461538461538464"/>
    <n v="0"/>
    <n v="0"/>
    <n v="0"/>
    <n v="26"/>
    <n v="0"/>
    <n v="2019"/>
    <n v="2004"/>
    <x v="9"/>
    <x v="1"/>
    <n v="71"/>
    <n v="5"/>
    <n v="0"/>
    <n v="0"/>
    <n v="0"/>
  </r>
  <r>
    <x v="7"/>
    <x v="80"/>
    <x v="25"/>
    <n v="0.34615384615384615"/>
    <n v="0"/>
    <n v="0"/>
    <n v="0"/>
    <n v="26"/>
    <n v="0"/>
    <n v="2019"/>
    <n v="2003"/>
    <x v="11"/>
    <x v="1"/>
    <n v="16"/>
    <n v="3"/>
    <n v="0"/>
    <n v="0"/>
    <n v="0"/>
  </r>
  <r>
    <x v="7"/>
    <x v="64"/>
    <x v="16"/>
    <n v="0.30769230769230771"/>
    <n v="0"/>
    <n v="0"/>
    <n v="1"/>
    <n v="26"/>
    <n v="0.125"/>
    <n v="2019"/>
    <n v="2003"/>
    <x v="11"/>
    <x v="1"/>
    <n v="27"/>
    <n v="5"/>
    <n v="1"/>
    <n v="0"/>
    <n v="0"/>
  </r>
  <r>
    <x v="7"/>
    <x v="87"/>
    <x v="26"/>
    <n v="0.26923076923076922"/>
    <n v="0"/>
    <n v="0"/>
    <n v="0"/>
    <n v="26"/>
    <n v="0"/>
    <n v="2019"/>
    <n v="1989"/>
    <x v="19"/>
    <x v="1"/>
    <n v="39"/>
    <n v="4"/>
    <n v="1"/>
    <n v="1"/>
    <n v="0"/>
  </r>
  <r>
    <x v="7"/>
    <x v="58"/>
    <x v="17"/>
    <n v="0.23076923076923078"/>
    <n v="0"/>
    <n v="0"/>
    <n v="0"/>
    <n v="26"/>
    <n v="0"/>
    <n v="2019"/>
    <n v="2004"/>
    <x v="9"/>
    <x v="1"/>
    <n v="50"/>
    <n v="5"/>
    <n v="6"/>
    <n v="0"/>
    <n v="0"/>
  </r>
  <r>
    <x v="7"/>
    <x v="88"/>
    <x v="2"/>
    <n v="7.6923076923076927E-2"/>
    <n v="0"/>
    <n v="0"/>
    <n v="0"/>
    <n v="26"/>
    <n v="0"/>
    <n v="2019"/>
    <n v="1978"/>
    <x v="6"/>
    <x v="1"/>
    <n v="2"/>
    <n v="1"/>
    <n v="0"/>
    <n v="0"/>
    <n v="0"/>
  </r>
  <r>
    <x v="8"/>
    <x v="83"/>
    <x v="13"/>
    <n v="1"/>
    <n v="2"/>
    <n v="0"/>
    <n v="30"/>
    <n v="18"/>
    <n v="1.6666666666666667"/>
    <n v="2018"/>
    <n v="1985"/>
    <x v="16"/>
    <x v="1"/>
    <n v="48"/>
    <n v="3"/>
    <n v="53"/>
    <n v="7"/>
    <n v="0"/>
  </r>
  <r>
    <x v="8"/>
    <x v="0"/>
    <x v="13"/>
    <n v="1"/>
    <n v="0"/>
    <n v="0"/>
    <n v="10"/>
    <n v="18"/>
    <n v="0.55555555555555558"/>
    <n v="2018"/>
    <n v="1991"/>
    <x v="7"/>
    <x v="1"/>
    <n v="138"/>
    <n v="9"/>
    <n v="103"/>
    <n v="4"/>
    <n v="0"/>
  </r>
  <r>
    <x v="8"/>
    <x v="67"/>
    <x v="13"/>
    <n v="1"/>
    <n v="0"/>
    <n v="0"/>
    <n v="3"/>
    <n v="18"/>
    <n v="0.16666666666666666"/>
    <n v="2018"/>
    <n v="1991"/>
    <x v="7"/>
    <x v="1"/>
    <n v="63"/>
    <n v="5"/>
    <n v="11"/>
    <n v="0"/>
    <n v="0"/>
  </r>
  <r>
    <x v="8"/>
    <x v="34"/>
    <x v="28"/>
    <n v="0.94444444444444442"/>
    <n v="0"/>
    <n v="0"/>
    <n v="5"/>
    <n v="18"/>
    <n v="0.29411764705882354"/>
    <n v="2018"/>
    <n v="2002"/>
    <x v="11"/>
    <x v="1"/>
    <n v="151"/>
    <n v="8"/>
    <n v="29"/>
    <n v="9"/>
    <n v="0"/>
  </r>
  <r>
    <x v="8"/>
    <x v="47"/>
    <x v="28"/>
    <n v="0.94444444444444442"/>
    <n v="0"/>
    <n v="0"/>
    <n v="3"/>
    <n v="18"/>
    <n v="0.17647058823529413"/>
    <n v="2018"/>
    <n v="1996"/>
    <x v="12"/>
    <x v="1"/>
    <n v="105"/>
    <n v="6"/>
    <n v="11"/>
    <n v="1"/>
    <n v="0"/>
  </r>
  <r>
    <x v="8"/>
    <x v="60"/>
    <x v="28"/>
    <n v="0.94444444444444442"/>
    <n v="0"/>
    <n v="0"/>
    <n v="3"/>
    <n v="18"/>
    <n v="0.17647058823529413"/>
    <n v="2018"/>
    <n v="1995"/>
    <x v="5"/>
    <x v="1"/>
    <n v="89"/>
    <n v="5"/>
    <n v="9"/>
    <n v="4"/>
    <n v="0"/>
  </r>
  <r>
    <x v="8"/>
    <x v="89"/>
    <x v="28"/>
    <n v="0.94444444444444442"/>
    <n v="0"/>
    <n v="0"/>
    <n v="1"/>
    <n v="18"/>
    <n v="5.8823529411764705E-2"/>
    <n v="2018"/>
    <n v="1995"/>
    <x v="5"/>
    <x v="1"/>
    <n v="43"/>
    <n v="3"/>
    <n v="4"/>
    <n v="0"/>
    <n v="0"/>
  </r>
  <r>
    <x v="8"/>
    <x v="52"/>
    <x v="28"/>
    <n v="0.94444444444444442"/>
    <n v="0"/>
    <n v="0"/>
    <n v="0"/>
    <n v="18"/>
    <n v="0"/>
    <n v="2018"/>
    <n v="1996"/>
    <x v="12"/>
    <x v="1"/>
    <n v="200"/>
    <n v="12"/>
    <n v="9"/>
    <n v="1"/>
    <n v="0"/>
  </r>
  <r>
    <x v="8"/>
    <x v="37"/>
    <x v="28"/>
    <n v="0.94444444444444442"/>
    <n v="0"/>
    <n v="0"/>
    <n v="0"/>
    <n v="18"/>
    <n v="0"/>
    <n v="2018"/>
    <n v="1989"/>
    <x v="20"/>
    <x v="1"/>
    <n v="119"/>
    <n v="6"/>
    <n v="6"/>
    <n v="3"/>
    <n v="1"/>
  </r>
  <r>
    <x v="8"/>
    <x v="9"/>
    <x v="28"/>
    <n v="0.94444444444444442"/>
    <n v="0"/>
    <n v="0"/>
    <n v="0"/>
    <n v="18"/>
    <n v="0"/>
    <n v="2018"/>
    <n v="1985"/>
    <x v="16"/>
    <x v="1"/>
    <n v="25"/>
    <n v="3"/>
    <n v="0"/>
    <n v="0"/>
    <n v="0"/>
  </r>
  <r>
    <x v="8"/>
    <x v="90"/>
    <x v="21"/>
    <n v="0.88888888888888884"/>
    <n v="1"/>
    <n v="0"/>
    <n v="8"/>
    <n v="18"/>
    <n v="0.5"/>
    <n v="2018"/>
    <n v="1992"/>
    <x v="13"/>
    <x v="1"/>
    <n v="31"/>
    <n v="2"/>
    <n v="28"/>
    <n v="4"/>
    <n v="0"/>
  </r>
  <r>
    <x v="8"/>
    <x v="78"/>
    <x v="22"/>
    <n v="0.77777777777777779"/>
    <n v="2"/>
    <n v="0"/>
    <n v="2"/>
    <n v="18"/>
    <n v="0.14285714285714285"/>
    <n v="2018"/>
    <n v="1998"/>
    <x v="10"/>
    <x v="1"/>
    <n v="46"/>
    <n v="3"/>
    <n v="3"/>
    <n v="5"/>
    <n v="0"/>
  </r>
  <r>
    <x v="8"/>
    <x v="79"/>
    <x v="23"/>
    <n v="0.72222222222222221"/>
    <n v="0"/>
    <n v="0"/>
    <n v="2"/>
    <n v="18"/>
    <n v="0.15384615384615385"/>
    <n v="2018"/>
    <n v="1996"/>
    <x v="12"/>
    <x v="1"/>
    <n v="121"/>
    <n v="9"/>
    <n v="13"/>
    <n v="2"/>
    <n v="1"/>
  </r>
  <r>
    <x v="8"/>
    <x v="86"/>
    <x v="23"/>
    <n v="0.72222222222222221"/>
    <n v="0"/>
    <n v="0"/>
    <n v="0"/>
    <n v="18"/>
    <n v="0"/>
    <n v="2018"/>
    <n v="2000"/>
    <x v="8"/>
    <x v="1"/>
    <n v="80"/>
    <n v="5"/>
    <n v="0"/>
    <n v="1"/>
    <n v="0"/>
  </r>
  <r>
    <x v="8"/>
    <x v="87"/>
    <x v="24"/>
    <n v="0.66666666666666663"/>
    <n v="1"/>
    <n v="0"/>
    <n v="0"/>
    <n v="18"/>
    <n v="0"/>
    <n v="2018"/>
    <n v="1989"/>
    <x v="20"/>
    <x v="1"/>
    <n v="39"/>
    <n v="4"/>
    <n v="1"/>
    <n v="1"/>
    <n v="0"/>
  </r>
  <r>
    <x v="8"/>
    <x v="91"/>
    <x v="14"/>
    <n v="0.61111111111111116"/>
    <n v="1"/>
    <n v="0"/>
    <n v="0"/>
    <n v="18"/>
    <n v="0"/>
    <n v="2018"/>
    <n v="1994"/>
    <x v="4"/>
    <x v="1"/>
    <n v="25"/>
    <n v="2"/>
    <n v="0"/>
    <n v="1"/>
    <n v="0"/>
  </r>
  <r>
    <x v="8"/>
    <x v="63"/>
    <x v="16"/>
    <n v="0.44444444444444442"/>
    <n v="1"/>
    <n v="0"/>
    <n v="5"/>
    <n v="18"/>
    <n v="0.625"/>
    <n v="2018"/>
    <n v="2000"/>
    <x v="8"/>
    <x v="1"/>
    <n v="19"/>
    <n v="2"/>
    <n v="9"/>
    <n v="1"/>
    <n v="0"/>
  </r>
  <r>
    <x v="8"/>
    <x v="92"/>
    <x v="16"/>
    <n v="0.44444444444444442"/>
    <n v="1"/>
    <n v="0"/>
    <n v="1"/>
    <n v="18"/>
    <n v="0.125"/>
    <n v="2018"/>
    <n v="1990"/>
    <x v="22"/>
    <x v="1"/>
    <n v="8"/>
    <n v="1"/>
    <n v="1"/>
    <n v="1"/>
    <n v="0"/>
  </r>
  <r>
    <x v="8"/>
    <x v="44"/>
    <x v="16"/>
    <n v="0.44444444444444442"/>
    <n v="1"/>
    <n v="0"/>
    <n v="0"/>
    <n v="18"/>
    <n v="0"/>
    <n v="2018"/>
    <n v="1997"/>
    <x v="1"/>
    <x v="1"/>
    <n v="32"/>
    <n v="3"/>
    <n v="1"/>
    <n v="3"/>
    <n v="0"/>
  </r>
  <r>
    <x v="8"/>
    <x v="93"/>
    <x v="0"/>
    <n v="0.22222222222222221"/>
    <n v="0"/>
    <n v="0"/>
    <n v="0"/>
    <n v="18"/>
    <n v="0"/>
    <n v="2018"/>
    <n v="1999"/>
    <x v="2"/>
    <x v="1"/>
    <n v="4"/>
    <n v="1"/>
    <n v="0"/>
    <n v="0"/>
    <n v="0"/>
  </r>
  <r>
    <x v="8"/>
    <x v="94"/>
    <x v="0"/>
    <n v="0.22222222222222221"/>
    <n v="0"/>
    <n v="0"/>
    <n v="0"/>
    <n v="18"/>
    <n v="0"/>
    <n v="2018"/>
    <n v="1999"/>
    <x v="2"/>
    <x v="1"/>
    <n v="4"/>
    <n v="1"/>
    <n v="0"/>
    <n v="0"/>
    <n v="0"/>
  </r>
  <r>
    <x v="9"/>
    <x v="42"/>
    <x v="21"/>
    <n v="1"/>
    <n v="0"/>
    <n v="0"/>
    <n v="5"/>
    <n v="16"/>
    <n v="0.3125"/>
    <n v="2017"/>
    <n v="2001"/>
    <x v="11"/>
    <x v="3"/>
    <n v="48"/>
    <n v="8"/>
    <n v="14"/>
    <n v="1"/>
    <n v="0"/>
  </r>
  <r>
    <x v="9"/>
    <x v="86"/>
    <x v="21"/>
    <n v="1"/>
    <n v="0"/>
    <n v="0"/>
    <n v="0"/>
    <n v="16"/>
    <n v="0"/>
    <n v="2017"/>
    <n v="2000"/>
    <x v="3"/>
    <x v="3"/>
    <n v="80"/>
    <n v="5"/>
    <n v="0"/>
    <n v="1"/>
    <n v="0"/>
  </r>
  <r>
    <x v="9"/>
    <x v="90"/>
    <x v="29"/>
    <n v="0.9375"/>
    <n v="3"/>
    <n v="0"/>
    <n v="20"/>
    <n v="16"/>
    <n v="1.3333333333333333"/>
    <n v="2017"/>
    <n v="1992"/>
    <x v="18"/>
    <x v="3"/>
    <n v="31"/>
    <n v="2"/>
    <n v="28"/>
    <n v="4"/>
    <n v="0"/>
  </r>
  <r>
    <x v="9"/>
    <x v="52"/>
    <x v="29"/>
    <n v="0.9375"/>
    <n v="0"/>
    <n v="0"/>
    <n v="0"/>
    <n v="16"/>
    <n v="0"/>
    <n v="2017"/>
    <n v="1996"/>
    <x v="1"/>
    <x v="3"/>
    <n v="200"/>
    <n v="12"/>
    <n v="9"/>
    <n v="1"/>
    <n v="0"/>
  </r>
  <r>
    <x v="9"/>
    <x v="67"/>
    <x v="22"/>
    <n v="0.875"/>
    <n v="0"/>
    <n v="0"/>
    <n v="3"/>
    <n v="16"/>
    <n v="0.21428571428571427"/>
    <n v="2017"/>
    <n v="1991"/>
    <x v="13"/>
    <x v="3"/>
    <n v="63"/>
    <n v="5"/>
    <n v="11"/>
    <n v="0"/>
    <n v="0"/>
  </r>
  <r>
    <x v="9"/>
    <x v="95"/>
    <x v="22"/>
    <n v="0.875"/>
    <n v="1"/>
    <n v="0"/>
    <n v="1"/>
    <n v="16"/>
    <n v="7.1428571428571425E-2"/>
    <n v="2017"/>
    <n v="1990"/>
    <x v="7"/>
    <x v="3"/>
    <n v="14"/>
    <n v="1"/>
    <n v="1"/>
    <n v="1"/>
    <n v="0"/>
  </r>
  <r>
    <x v="9"/>
    <x v="91"/>
    <x v="22"/>
    <n v="0.875"/>
    <n v="0"/>
    <n v="0"/>
    <n v="0"/>
    <n v="16"/>
    <n v="0"/>
    <n v="2017"/>
    <n v="1994"/>
    <x v="5"/>
    <x v="3"/>
    <n v="25"/>
    <n v="2"/>
    <n v="0"/>
    <n v="1"/>
    <n v="0"/>
  </r>
  <r>
    <x v="9"/>
    <x v="12"/>
    <x v="23"/>
    <n v="0.8125"/>
    <n v="0"/>
    <n v="0"/>
    <n v="9"/>
    <n v="16"/>
    <n v="0.69230769230769229"/>
    <n v="2017"/>
    <n v="2002"/>
    <x v="9"/>
    <x v="3"/>
    <n v="53"/>
    <n v="5"/>
    <n v="25"/>
    <n v="3"/>
    <n v="0"/>
  </r>
  <r>
    <x v="9"/>
    <x v="96"/>
    <x v="23"/>
    <n v="0.8125"/>
    <n v="0"/>
    <n v="0"/>
    <n v="3"/>
    <n v="16"/>
    <n v="0.23076923076923078"/>
    <n v="2017"/>
    <n v="1999"/>
    <x v="8"/>
    <x v="3"/>
    <n v="13"/>
    <n v="1"/>
    <n v="3"/>
    <n v="0"/>
    <n v="0"/>
  </r>
  <r>
    <x v="9"/>
    <x v="89"/>
    <x v="23"/>
    <n v="0.8125"/>
    <n v="0"/>
    <n v="0"/>
    <n v="1"/>
    <n v="16"/>
    <n v="7.6923076923076927E-2"/>
    <n v="2017"/>
    <n v="1995"/>
    <x v="12"/>
    <x v="3"/>
    <n v="43"/>
    <n v="3"/>
    <n v="4"/>
    <n v="0"/>
    <n v="0"/>
  </r>
  <r>
    <x v="9"/>
    <x v="79"/>
    <x v="24"/>
    <n v="0.75"/>
    <n v="1"/>
    <n v="0"/>
    <n v="0"/>
    <n v="16"/>
    <n v="0"/>
    <n v="2017"/>
    <n v="1996"/>
    <x v="1"/>
    <x v="3"/>
    <n v="121"/>
    <n v="9"/>
    <n v="13"/>
    <n v="2"/>
    <n v="1"/>
  </r>
  <r>
    <x v="9"/>
    <x v="97"/>
    <x v="15"/>
    <n v="0.625"/>
    <n v="0"/>
    <n v="0"/>
    <n v="1"/>
    <n v="16"/>
    <n v="0.1"/>
    <n v="2017"/>
    <n v="2001"/>
    <x v="11"/>
    <x v="3"/>
    <n v="12"/>
    <n v="2"/>
    <n v="1"/>
    <n v="0"/>
    <n v="0"/>
  </r>
  <r>
    <x v="9"/>
    <x v="98"/>
    <x v="15"/>
    <n v="0.625"/>
    <n v="0"/>
    <n v="0"/>
    <n v="1"/>
    <n v="16"/>
    <n v="0.1"/>
    <n v="2017"/>
    <n v="1994"/>
    <x v="5"/>
    <x v="3"/>
    <n v="13"/>
    <n v="2"/>
    <n v="6"/>
    <n v="0"/>
    <n v="0"/>
  </r>
  <r>
    <x v="9"/>
    <x v="99"/>
    <x v="15"/>
    <n v="0.625"/>
    <n v="0"/>
    <n v="0"/>
    <n v="0"/>
    <n v="16"/>
    <n v="0"/>
    <n v="2017"/>
    <n v="1999"/>
    <x v="8"/>
    <x v="3"/>
    <n v="17"/>
    <n v="2"/>
    <n v="0"/>
    <n v="0"/>
    <n v="0"/>
  </r>
  <r>
    <x v="9"/>
    <x v="34"/>
    <x v="25"/>
    <n v="0.5625"/>
    <n v="0"/>
    <n v="0"/>
    <n v="0"/>
    <n v="16"/>
    <n v="0"/>
    <n v="2017"/>
    <n v="2002"/>
    <x v="9"/>
    <x v="3"/>
    <n v="151"/>
    <n v="8"/>
    <n v="29"/>
    <n v="9"/>
    <n v="0"/>
  </r>
  <r>
    <x v="9"/>
    <x v="83"/>
    <x v="16"/>
    <n v="0.5"/>
    <n v="1"/>
    <n v="0"/>
    <n v="10"/>
    <n v="16"/>
    <n v="1.25"/>
    <n v="2017"/>
    <n v="1985"/>
    <x v="15"/>
    <x v="3"/>
    <n v="48"/>
    <n v="3"/>
    <n v="53"/>
    <n v="7"/>
    <n v="0"/>
  </r>
  <r>
    <x v="9"/>
    <x v="100"/>
    <x v="16"/>
    <n v="0.5"/>
    <n v="0"/>
    <n v="0"/>
    <n v="0"/>
    <n v="16"/>
    <n v="0"/>
    <n v="2017"/>
    <n v="1998"/>
    <x v="2"/>
    <x v="3"/>
    <n v="20"/>
    <n v="2"/>
    <n v="0"/>
    <n v="0"/>
    <n v="0"/>
  </r>
  <r>
    <x v="9"/>
    <x v="101"/>
    <x v="26"/>
    <n v="0.4375"/>
    <n v="0"/>
    <n v="0"/>
    <n v="1"/>
    <n v="16"/>
    <n v="0.14285714285714285"/>
    <n v="2017"/>
    <n v="2001"/>
    <x v="11"/>
    <x v="3"/>
    <n v="7"/>
    <n v="1"/>
    <n v="1"/>
    <n v="0"/>
    <n v="0"/>
  </r>
  <r>
    <x v="9"/>
    <x v="102"/>
    <x v="26"/>
    <n v="0.4375"/>
    <n v="1"/>
    <n v="0"/>
    <n v="0"/>
    <n v="16"/>
    <n v="0"/>
    <n v="2017"/>
    <n v="1993"/>
    <x v="4"/>
    <x v="3"/>
    <n v="18"/>
    <n v="2"/>
    <n v="0"/>
    <n v="1"/>
    <n v="0"/>
  </r>
  <r>
    <x v="9"/>
    <x v="103"/>
    <x v="0"/>
    <n v="0.25"/>
    <n v="0"/>
    <n v="0"/>
    <n v="1"/>
    <n v="16"/>
    <n v="0.25"/>
    <n v="2017"/>
    <n v="1992"/>
    <x v="18"/>
    <x v="3"/>
    <n v="7"/>
    <n v="2"/>
    <n v="2"/>
    <n v="0"/>
    <n v="0"/>
  </r>
  <r>
    <x v="9"/>
    <x v="104"/>
    <x v="0"/>
    <n v="0.25"/>
    <n v="0"/>
    <n v="0"/>
    <n v="0"/>
    <n v="16"/>
    <n v="0"/>
    <n v="2017"/>
    <n v="1998"/>
    <x v="2"/>
    <x v="3"/>
    <n v="4"/>
    <n v="1"/>
    <n v="0"/>
    <n v="0"/>
    <n v="0"/>
  </r>
  <r>
    <x v="9"/>
    <x v="80"/>
    <x v="1"/>
    <n v="0.1875"/>
    <n v="0"/>
    <n v="0"/>
    <n v="0"/>
    <n v="16"/>
    <n v="0"/>
    <n v="2017"/>
    <n v="2003"/>
    <x v="23"/>
    <x v="3"/>
    <n v="16"/>
    <n v="3"/>
    <n v="0"/>
    <n v="0"/>
    <n v="0"/>
  </r>
  <r>
    <x v="9"/>
    <x v="64"/>
    <x v="3"/>
    <n v="6.25E-2"/>
    <n v="0"/>
    <n v="0"/>
    <n v="0"/>
    <n v="16"/>
    <n v="0"/>
    <n v="2017"/>
    <n v="2003"/>
    <x v="23"/>
    <x v="3"/>
    <n v="27"/>
    <n v="5"/>
    <n v="1"/>
    <n v="0"/>
    <n v="0"/>
  </r>
  <r>
    <x v="9"/>
    <x v="105"/>
    <x v="3"/>
    <n v="6.25E-2"/>
    <n v="0"/>
    <n v="0"/>
    <n v="0"/>
    <n v="16"/>
    <n v="0"/>
    <n v="2017"/>
    <n v="2003"/>
    <x v="23"/>
    <x v="3"/>
    <n v="1"/>
    <n v="1"/>
    <n v="0"/>
    <n v="0"/>
    <n v="0"/>
  </r>
  <r>
    <x v="9"/>
    <x v="106"/>
    <x v="3"/>
    <n v="6.25E-2"/>
    <n v="0"/>
    <n v="0"/>
    <n v="0"/>
    <n v="16"/>
    <n v="0"/>
    <n v="2017"/>
    <n v="2002"/>
    <x v="9"/>
    <x v="3"/>
    <n v="1"/>
    <n v="1"/>
    <n v="0"/>
    <n v="0"/>
    <n v="0"/>
  </r>
  <r>
    <x v="9"/>
    <x v="107"/>
    <x v="3"/>
    <n v="6.25E-2"/>
    <n v="0"/>
    <n v="0"/>
    <n v="0"/>
    <n v="16"/>
    <n v="0"/>
    <n v="2017"/>
    <n v="1999"/>
    <x v="8"/>
    <x v="3"/>
    <n v="17"/>
    <n v="2"/>
    <n v="1"/>
    <n v="0"/>
    <n v="0"/>
  </r>
  <r>
    <x v="9"/>
    <x v="108"/>
    <x v="3"/>
    <n v="6.25E-2"/>
    <n v="0"/>
    <n v="0"/>
    <n v="0"/>
    <n v="16"/>
    <n v="0"/>
    <n v="2017"/>
    <n v="1999"/>
    <x v="8"/>
    <x v="3"/>
    <n v="13"/>
    <n v="2"/>
    <n v="2"/>
    <n v="0"/>
    <n v="0"/>
  </r>
  <r>
    <x v="9"/>
    <x v="109"/>
    <x v="3"/>
    <n v="6.25E-2"/>
    <n v="0"/>
    <n v="0"/>
    <n v="0"/>
    <n v="16"/>
    <n v="0"/>
    <n v="2017"/>
    <n v="1996"/>
    <x v="1"/>
    <x v="3"/>
    <n v="13"/>
    <n v="2"/>
    <n v="13"/>
    <n v="0"/>
    <n v="0"/>
  </r>
  <r>
    <x v="10"/>
    <x v="107"/>
    <x v="21"/>
    <n v="1"/>
    <n v="0"/>
    <n v="0"/>
    <n v="1"/>
    <n v="16"/>
    <n v="6.25E-2"/>
    <n v="2016"/>
    <n v="1999"/>
    <x v="3"/>
    <x v="0"/>
    <n v="17"/>
    <n v="2"/>
    <n v="1"/>
    <n v="0"/>
    <n v="0"/>
  </r>
  <r>
    <x v="10"/>
    <x v="110"/>
    <x v="22"/>
    <n v="0.875"/>
    <n v="0"/>
    <n v="0"/>
    <n v="2"/>
    <n v="16"/>
    <n v="0.14285714285714285"/>
    <n v="2016"/>
    <n v="2000"/>
    <x v="11"/>
    <x v="0"/>
    <n v="23"/>
    <n v="2"/>
    <n v="2"/>
    <n v="0"/>
    <n v="0"/>
  </r>
  <r>
    <x v="10"/>
    <x v="52"/>
    <x v="22"/>
    <n v="0.875"/>
    <n v="0"/>
    <n v="0"/>
    <n v="1"/>
    <n v="16"/>
    <n v="7.1428571428571425E-2"/>
    <n v="2016"/>
    <n v="1996"/>
    <x v="10"/>
    <x v="0"/>
    <n v="200"/>
    <n v="12"/>
    <n v="9"/>
    <n v="1"/>
    <n v="0"/>
  </r>
  <r>
    <x v="10"/>
    <x v="79"/>
    <x v="22"/>
    <n v="0.875"/>
    <n v="0"/>
    <n v="0"/>
    <n v="1"/>
    <n v="16"/>
    <n v="7.1428571428571425E-2"/>
    <n v="2016"/>
    <n v="1996"/>
    <x v="10"/>
    <x v="0"/>
    <n v="121"/>
    <n v="9"/>
    <n v="13"/>
    <n v="2"/>
    <n v="1"/>
  </r>
  <r>
    <x v="10"/>
    <x v="111"/>
    <x v="23"/>
    <n v="0.8125"/>
    <n v="0"/>
    <n v="0"/>
    <n v="20"/>
    <n v="16"/>
    <n v="1.5384615384615385"/>
    <n v="2016"/>
    <n v="1996"/>
    <x v="10"/>
    <x v="0"/>
    <n v="83"/>
    <n v="5"/>
    <n v="119"/>
    <n v="0"/>
    <n v="0"/>
  </r>
  <r>
    <x v="10"/>
    <x v="89"/>
    <x v="23"/>
    <n v="0.8125"/>
    <n v="0"/>
    <n v="0"/>
    <n v="2"/>
    <n v="16"/>
    <n v="0.15384615384615385"/>
    <n v="2016"/>
    <n v="1995"/>
    <x v="1"/>
    <x v="0"/>
    <n v="43"/>
    <n v="3"/>
    <n v="4"/>
    <n v="0"/>
    <n v="0"/>
  </r>
  <r>
    <x v="10"/>
    <x v="86"/>
    <x v="23"/>
    <n v="0.8125"/>
    <n v="0"/>
    <n v="0"/>
    <n v="0"/>
    <n v="16"/>
    <n v="0"/>
    <n v="2016"/>
    <n v="2000"/>
    <x v="11"/>
    <x v="0"/>
    <n v="80"/>
    <n v="5"/>
    <n v="0"/>
    <n v="1"/>
    <n v="0"/>
  </r>
  <r>
    <x v="10"/>
    <x v="112"/>
    <x v="24"/>
    <n v="0.75"/>
    <n v="0"/>
    <n v="0"/>
    <n v="3"/>
    <n v="16"/>
    <n v="0.25"/>
    <n v="2016"/>
    <n v="2000"/>
    <x v="11"/>
    <x v="0"/>
    <n v="23"/>
    <n v="2"/>
    <n v="6"/>
    <n v="0"/>
    <n v="0"/>
  </r>
  <r>
    <x v="10"/>
    <x v="108"/>
    <x v="24"/>
    <n v="0.75"/>
    <n v="0"/>
    <n v="0"/>
    <n v="2"/>
    <n v="16"/>
    <n v="0.16666666666666666"/>
    <n v="2016"/>
    <n v="1999"/>
    <x v="3"/>
    <x v="0"/>
    <n v="13"/>
    <n v="2"/>
    <n v="2"/>
    <n v="0"/>
    <n v="0"/>
  </r>
  <r>
    <x v="10"/>
    <x v="100"/>
    <x v="24"/>
    <n v="0.75"/>
    <n v="0"/>
    <n v="0"/>
    <n v="0"/>
    <n v="16"/>
    <n v="0"/>
    <n v="2016"/>
    <n v="1998"/>
    <x v="8"/>
    <x v="0"/>
    <n v="20"/>
    <n v="2"/>
    <n v="0"/>
    <n v="0"/>
    <n v="0"/>
  </r>
  <r>
    <x v="10"/>
    <x v="113"/>
    <x v="14"/>
    <n v="0.6875"/>
    <n v="1"/>
    <n v="0"/>
    <n v="0"/>
    <n v="16"/>
    <n v="0"/>
    <n v="2016"/>
    <n v="1996"/>
    <x v="10"/>
    <x v="0"/>
    <n v="60"/>
    <n v="7"/>
    <n v="6"/>
    <n v="3"/>
    <n v="0"/>
  </r>
  <r>
    <x v="10"/>
    <x v="102"/>
    <x v="14"/>
    <n v="0.6875"/>
    <n v="0"/>
    <n v="0"/>
    <n v="0"/>
    <n v="16"/>
    <n v="0"/>
    <n v="2016"/>
    <n v="1993"/>
    <x v="5"/>
    <x v="0"/>
    <n v="18"/>
    <n v="2"/>
    <n v="0"/>
    <n v="1"/>
    <n v="0"/>
  </r>
  <r>
    <x v="10"/>
    <x v="114"/>
    <x v="25"/>
    <n v="0.5625"/>
    <n v="0"/>
    <n v="0"/>
    <n v="1"/>
    <n v="16"/>
    <n v="0.1111111111111111"/>
    <n v="2016"/>
    <n v="1996"/>
    <x v="10"/>
    <x v="0"/>
    <n v="69"/>
    <n v="5"/>
    <n v="1"/>
    <n v="0"/>
    <n v="0"/>
  </r>
  <r>
    <x v="10"/>
    <x v="115"/>
    <x v="25"/>
    <n v="0.5625"/>
    <n v="0"/>
    <n v="0"/>
    <n v="1"/>
    <n v="16"/>
    <n v="0.1111111111111111"/>
    <n v="2016"/>
    <n v="1996"/>
    <x v="10"/>
    <x v="0"/>
    <n v="44"/>
    <n v="5"/>
    <n v="4"/>
    <n v="0"/>
    <n v="0"/>
  </r>
  <r>
    <x v="10"/>
    <x v="116"/>
    <x v="16"/>
    <n v="0.5"/>
    <n v="0"/>
    <n v="0"/>
    <n v="2"/>
    <n v="16"/>
    <n v="0.25"/>
    <n v="2016"/>
    <n v="1996"/>
    <x v="10"/>
    <x v="0"/>
    <n v="20"/>
    <n v="2"/>
    <n v="4"/>
    <n v="0"/>
    <n v="0"/>
  </r>
  <r>
    <x v="10"/>
    <x v="117"/>
    <x v="26"/>
    <n v="0.4375"/>
    <n v="0"/>
    <n v="0"/>
    <n v="1"/>
    <n v="16"/>
    <n v="0.14285714285714285"/>
    <n v="2016"/>
    <n v="1996"/>
    <x v="10"/>
    <x v="0"/>
    <n v="37"/>
    <n v="3"/>
    <n v="14"/>
    <n v="0"/>
    <n v="0"/>
  </r>
  <r>
    <x v="10"/>
    <x v="99"/>
    <x v="26"/>
    <n v="0.4375"/>
    <n v="0"/>
    <n v="0"/>
    <n v="0"/>
    <n v="16"/>
    <n v="0"/>
    <n v="2016"/>
    <n v="1999"/>
    <x v="3"/>
    <x v="0"/>
    <n v="17"/>
    <n v="2"/>
    <n v="0"/>
    <n v="0"/>
    <n v="0"/>
  </r>
  <r>
    <x v="10"/>
    <x v="75"/>
    <x v="17"/>
    <n v="0.375"/>
    <n v="0"/>
    <n v="0"/>
    <n v="1"/>
    <n v="16"/>
    <n v="0.16666666666666666"/>
    <n v="2016"/>
    <n v="2001"/>
    <x v="9"/>
    <x v="0"/>
    <n v="14"/>
    <n v="3"/>
    <n v="1"/>
    <n v="0"/>
    <n v="0"/>
  </r>
  <r>
    <x v="10"/>
    <x v="118"/>
    <x v="17"/>
    <n v="0.375"/>
    <n v="0"/>
    <n v="0"/>
    <n v="1"/>
    <n v="16"/>
    <n v="0.16666666666666666"/>
    <n v="2016"/>
    <n v="2000"/>
    <x v="11"/>
    <x v="0"/>
    <n v="17"/>
    <n v="2"/>
    <n v="1"/>
    <n v="0"/>
    <n v="0"/>
  </r>
  <r>
    <x v="10"/>
    <x v="119"/>
    <x v="18"/>
    <n v="0.3125"/>
    <n v="0"/>
    <n v="0"/>
    <n v="1"/>
    <n v="16"/>
    <n v="0.2"/>
    <n v="2016"/>
    <n v="1999"/>
    <x v="3"/>
    <x v="0"/>
    <n v="5"/>
    <n v="1"/>
    <n v="1"/>
    <n v="0"/>
    <n v="0"/>
  </r>
  <r>
    <x v="10"/>
    <x v="19"/>
    <x v="0"/>
    <n v="0.25"/>
    <n v="0"/>
    <n v="0"/>
    <n v="6"/>
    <n v="16"/>
    <n v="1.5"/>
    <n v="2016"/>
    <n v="2002"/>
    <x v="23"/>
    <x v="0"/>
    <n v="63"/>
    <n v="5"/>
    <n v="24"/>
    <n v="3"/>
    <n v="0"/>
  </r>
  <r>
    <x v="10"/>
    <x v="120"/>
    <x v="0"/>
    <n v="0.25"/>
    <n v="0"/>
    <n v="0"/>
    <n v="0"/>
    <n v="16"/>
    <n v="0"/>
    <n v="2016"/>
    <n v="1999"/>
    <x v="3"/>
    <x v="0"/>
    <n v="4"/>
    <n v="1"/>
    <n v="0"/>
    <n v="0"/>
    <n v="0"/>
  </r>
  <r>
    <x v="10"/>
    <x v="98"/>
    <x v="1"/>
    <n v="0.1875"/>
    <n v="0"/>
    <n v="0"/>
    <n v="5"/>
    <n v="16"/>
    <n v="1.6666666666666667"/>
    <n v="2016"/>
    <n v="1994"/>
    <x v="12"/>
    <x v="0"/>
    <n v="13"/>
    <n v="2"/>
    <n v="6"/>
    <n v="0"/>
    <n v="0"/>
  </r>
  <r>
    <x v="10"/>
    <x v="103"/>
    <x v="1"/>
    <n v="0.1875"/>
    <n v="0"/>
    <n v="0"/>
    <n v="1"/>
    <n v="16"/>
    <n v="0.33333333333333331"/>
    <n v="2016"/>
    <n v="1992"/>
    <x v="4"/>
    <x v="0"/>
    <n v="7"/>
    <n v="2"/>
    <n v="2"/>
    <n v="0"/>
    <n v="0"/>
  </r>
  <r>
    <x v="10"/>
    <x v="82"/>
    <x v="1"/>
    <n v="0.1875"/>
    <n v="0"/>
    <n v="0"/>
    <n v="0"/>
    <n v="16"/>
    <n v="0"/>
    <n v="2016"/>
    <n v="2001"/>
    <x v="9"/>
    <x v="0"/>
    <n v="8"/>
    <n v="3"/>
    <n v="0"/>
    <n v="0"/>
    <n v="0"/>
  </r>
  <r>
    <x v="10"/>
    <x v="121"/>
    <x v="1"/>
    <n v="0.1875"/>
    <n v="0"/>
    <n v="0"/>
    <n v="0"/>
    <n v="16"/>
    <n v="0"/>
    <n v="2016"/>
    <n v="1999"/>
    <x v="3"/>
    <x v="0"/>
    <n v="3"/>
    <n v="1"/>
    <n v="0"/>
    <n v="0"/>
    <n v="0"/>
  </r>
  <r>
    <x v="10"/>
    <x v="42"/>
    <x v="2"/>
    <n v="0.125"/>
    <n v="0"/>
    <n v="0"/>
    <n v="4"/>
    <n v="16"/>
    <n v="2"/>
    <n v="2016"/>
    <n v="2001"/>
    <x v="9"/>
    <x v="0"/>
    <n v="48"/>
    <n v="8"/>
    <n v="14"/>
    <n v="1"/>
    <n v="0"/>
  </r>
  <r>
    <x v="10"/>
    <x v="97"/>
    <x v="2"/>
    <n v="0.125"/>
    <n v="0"/>
    <n v="0"/>
    <n v="0"/>
    <n v="16"/>
    <n v="0"/>
    <n v="2016"/>
    <n v="2001"/>
    <x v="9"/>
    <x v="0"/>
    <n v="12"/>
    <n v="2"/>
    <n v="1"/>
    <n v="0"/>
    <n v="0"/>
  </r>
  <r>
    <x v="10"/>
    <x v="122"/>
    <x v="2"/>
    <n v="0.125"/>
    <n v="0"/>
    <n v="0"/>
    <n v="0"/>
    <n v="16"/>
    <n v="0"/>
    <n v="2016"/>
    <n v="2001"/>
    <x v="9"/>
    <x v="0"/>
    <n v="2"/>
    <n v="1"/>
    <n v="0"/>
    <n v="0"/>
    <n v="0"/>
  </r>
  <r>
    <x v="10"/>
    <x v="123"/>
    <x v="2"/>
    <n v="0.125"/>
    <n v="0"/>
    <n v="0"/>
    <n v="0"/>
    <n v="16"/>
    <n v="0"/>
    <n v="2016"/>
    <n v="1999"/>
    <x v="3"/>
    <x v="0"/>
    <n v="2"/>
    <n v="1"/>
    <n v="0"/>
    <n v="0"/>
    <n v="0"/>
  </r>
  <r>
    <x v="10"/>
    <x v="124"/>
    <x v="3"/>
    <n v="6.25E-2"/>
    <n v="0"/>
    <n v="0"/>
    <n v="0"/>
    <n v="16"/>
    <n v="0"/>
    <n v="2016"/>
    <n v="2001"/>
    <x v="9"/>
    <x v="0"/>
    <n v="5"/>
    <n v="2"/>
    <n v="1"/>
    <n v="0"/>
    <n v="0"/>
  </r>
  <r>
    <x v="10"/>
    <x v="74"/>
    <x v="3"/>
    <n v="6.25E-2"/>
    <n v="0"/>
    <n v="0"/>
    <n v="0"/>
    <n v="16"/>
    <n v="0"/>
    <n v="2016"/>
    <n v="2001"/>
    <x v="9"/>
    <x v="0"/>
    <n v="5"/>
    <n v="3"/>
    <n v="0"/>
    <n v="0"/>
    <n v="0"/>
  </r>
  <r>
    <x v="10"/>
    <x v="125"/>
    <x v="3"/>
    <n v="6.25E-2"/>
    <n v="0"/>
    <n v="0"/>
    <n v="0"/>
    <n v="16"/>
    <n v="0"/>
    <n v="2016"/>
    <n v="2000"/>
    <x v="11"/>
    <x v="0"/>
    <n v="15"/>
    <n v="3"/>
    <n v="0"/>
    <n v="0"/>
    <n v="0"/>
  </r>
  <r>
    <x v="11"/>
    <x v="111"/>
    <x v="19"/>
    <n v="0.95652173913043481"/>
    <n v="0"/>
    <n v="0"/>
    <n v="48"/>
    <n v="23"/>
    <n v="2.1818181818181817"/>
    <n v="2015"/>
    <n v="1996"/>
    <x v="2"/>
    <x v="0"/>
    <n v="83"/>
    <n v="5"/>
    <n v="119"/>
    <n v="0"/>
    <n v="0"/>
  </r>
  <r>
    <x v="11"/>
    <x v="126"/>
    <x v="19"/>
    <n v="0.95652173913043481"/>
    <n v="1"/>
    <n v="0"/>
    <n v="28"/>
    <n v="23"/>
    <n v="1.2727272727272727"/>
    <n v="2015"/>
    <n v="2000"/>
    <x v="9"/>
    <x v="0"/>
    <n v="22"/>
    <n v="1"/>
    <n v="28"/>
    <n v="1"/>
    <n v="0"/>
  </r>
  <r>
    <x v="11"/>
    <x v="52"/>
    <x v="11"/>
    <n v="0.91304347826086951"/>
    <n v="0"/>
    <n v="0"/>
    <n v="7"/>
    <n v="23"/>
    <n v="0.33333333333333331"/>
    <n v="2015"/>
    <n v="1996"/>
    <x v="2"/>
    <x v="0"/>
    <n v="200"/>
    <n v="12"/>
    <n v="9"/>
    <n v="1"/>
    <n v="0"/>
  </r>
  <r>
    <x v="11"/>
    <x v="86"/>
    <x v="11"/>
    <n v="0.91304347826086951"/>
    <n v="0"/>
    <n v="0"/>
    <n v="0"/>
    <n v="23"/>
    <n v="0"/>
    <n v="2015"/>
    <n v="2000"/>
    <x v="9"/>
    <x v="0"/>
    <n v="80"/>
    <n v="5"/>
    <n v="0"/>
    <n v="1"/>
    <n v="0"/>
  </r>
  <r>
    <x v="11"/>
    <x v="114"/>
    <x v="11"/>
    <n v="0.91304347826086951"/>
    <n v="0"/>
    <n v="0"/>
    <n v="0"/>
    <n v="23"/>
    <n v="0"/>
    <n v="2015"/>
    <n v="1996"/>
    <x v="2"/>
    <x v="0"/>
    <n v="69"/>
    <n v="5"/>
    <n v="1"/>
    <n v="0"/>
    <n v="0"/>
  </r>
  <r>
    <x v="11"/>
    <x v="79"/>
    <x v="28"/>
    <n v="0.73913043478260865"/>
    <n v="0"/>
    <n v="1"/>
    <n v="4"/>
    <n v="23"/>
    <n v="0.23529411764705882"/>
    <n v="2015"/>
    <n v="1996"/>
    <x v="2"/>
    <x v="0"/>
    <n v="121"/>
    <n v="9"/>
    <n v="13"/>
    <n v="2"/>
    <n v="1"/>
  </r>
  <r>
    <x v="11"/>
    <x v="127"/>
    <x v="22"/>
    <n v="0.60869565217391308"/>
    <n v="0"/>
    <n v="0"/>
    <n v="2"/>
    <n v="23"/>
    <n v="0.14285714285714285"/>
    <n v="2015"/>
    <n v="2000"/>
    <x v="9"/>
    <x v="0"/>
    <n v="14"/>
    <n v="1"/>
    <n v="2"/>
    <n v="0"/>
    <n v="0"/>
  </r>
  <r>
    <x v="11"/>
    <x v="128"/>
    <x v="22"/>
    <n v="0.60869565217391308"/>
    <n v="0"/>
    <n v="0"/>
    <n v="0"/>
    <n v="23"/>
    <n v="0"/>
    <n v="2015"/>
    <n v="1999"/>
    <x v="11"/>
    <x v="0"/>
    <n v="19"/>
    <n v="3"/>
    <n v="0"/>
    <n v="0"/>
    <n v="0"/>
  </r>
  <r>
    <x v="11"/>
    <x v="125"/>
    <x v="23"/>
    <n v="0.56521739130434778"/>
    <n v="0"/>
    <n v="0"/>
    <n v="0"/>
    <n v="23"/>
    <n v="0"/>
    <n v="2015"/>
    <n v="2000"/>
    <x v="9"/>
    <x v="0"/>
    <n v="15"/>
    <n v="3"/>
    <n v="0"/>
    <n v="0"/>
    <n v="0"/>
  </r>
  <r>
    <x v="11"/>
    <x v="109"/>
    <x v="24"/>
    <n v="0.52173913043478259"/>
    <n v="0"/>
    <n v="0"/>
    <n v="13"/>
    <n v="23"/>
    <n v="1.0833333333333333"/>
    <n v="2015"/>
    <n v="1996"/>
    <x v="2"/>
    <x v="0"/>
    <n v="13"/>
    <n v="2"/>
    <n v="13"/>
    <n v="0"/>
    <n v="0"/>
  </r>
  <r>
    <x v="11"/>
    <x v="113"/>
    <x v="14"/>
    <n v="0.47826086956521741"/>
    <n v="1"/>
    <n v="0"/>
    <n v="3"/>
    <n v="23"/>
    <n v="0.27272727272727271"/>
    <n v="2015"/>
    <n v="1996"/>
    <x v="2"/>
    <x v="0"/>
    <n v="60"/>
    <n v="7"/>
    <n v="6"/>
    <n v="3"/>
    <n v="0"/>
  </r>
  <r>
    <x v="11"/>
    <x v="112"/>
    <x v="14"/>
    <n v="0.47826086956521741"/>
    <n v="0"/>
    <n v="0"/>
    <n v="3"/>
    <n v="23"/>
    <n v="0.27272727272727271"/>
    <n v="2015"/>
    <n v="2000"/>
    <x v="9"/>
    <x v="0"/>
    <n v="23"/>
    <n v="2"/>
    <n v="6"/>
    <n v="0"/>
    <n v="0"/>
  </r>
  <r>
    <x v="11"/>
    <x v="129"/>
    <x v="14"/>
    <n v="0.47826086956521741"/>
    <n v="0"/>
    <n v="0"/>
    <n v="1"/>
    <n v="23"/>
    <n v="9.0909090909090912E-2"/>
    <n v="2015"/>
    <n v="1999"/>
    <x v="11"/>
    <x v="0"/>
    <n v="12"/>
    <n v="2"/>
    <n v="1"/>
    <n v="0"/>
    <n v="0"/>
  </r>
  <r>
    <x v="11"/>
    <x v="118"/>
    <x v="14"/>
    <n v="0.47826086956521741"/>
    <n v="0"/>
    <n v="0"/>
    <n v="0"/>
    <n v="23"/>
    <n v="0"/>
    <n v="2015"/>
    <n v="2000"/>
    <x v="9"/>
    <x v="0"/>
    <n v="17"/>
    <n v="2"/>
    <n v="1"/>
    <n v="0"/>
    <n v="0"/>
  </r>
  <r>
    <x v="11"/>
    <x v="130"/>
    <x v="14"/>
    <n v="0.47826086956521741"/>
    <n v="0"/>
    <n v="0"/>
    <n v="0"/>
    <n v="23"/>
    <n v="0"/>
    <n v="2015"/>
    <n v="2000"/>
    <x v="9"/>
    <x v="0"/>
    <n v="11"/>
    <n v="1"/>
    <n v="0"/>
    <n v="0"/>
    <n v="0"/>
  </r>
  <r>
    <x v="11"/>
    <x v="131"/>
    <x v="25"/>
    <n v="0.39130434782608697"/>
    <n v="2"/>
    <n v="0"/>
    <n v="3"/>
    <n v="23"/>
    <n v="0.33333333333333331"/>
    <n v="2015"/>
    <n v="1992"/>
    <x v="5"/>
    <x v="0"/>
    <n v="39"/>
    <n v="5"/>
    <n v="11"/>
    <n v="3"/>
    <n v="0"/>
  </r>
  <r>
    <x v="11"/>
    <x v="132"/>
    <x v="25"/>
    <n v="0.39130434782608697"/>
    <n v="0"/>
    <n v="0"/>
    <n v="3"/>
    <n v="23"/>
    <n v="0.33333333333333331"/>
    <n v="2015"/>
    <n v="1999"/>
    <x v="11"/>
    <x v="0"/>
    <n v="9"/>
    <n v="1"/>
    <n v="3"/>
    <n v="0"/>
    <n v="0"/>
  </r>
  <r>
    <x v="11"/>
    <x v="110"/>
    <x v="25"/>
    <n v="0.39130434782608697"/>
    <n v="0"/>
    <n v="0"/>
    <n v="0"/>
    <n v="23"/>
    <n v="0"/>
    <n v="2015"/>
    <n v="2000"/>
    <x v="9"/>
    <x v="0"/>
    <n v="23"/>
    <n v="2"/>
    <n v="2"/>
    <n v="0"/>
    <n v="0"/>
  </r>
  <r>
    <x v="11"/>
    <x v="133"/>
    <x v="25"/>
    <n v="0.39130434782608697"/>
    <n v="0"/>
    <n v="0"/>
    <n v="0"/>
    <n v="23"/>
    <n v="0"/>
    <n v="2015"/>
    <n v="1991"/>
    <x v="4"/>
    <x v="0"/>
    <n v="9"/>
    <n v="1"/>
    <n v="0"/>
    <n v="0"/>
    <n v="0"/>
  </r>
  <r>
    <x v="11"/>
    <x v="115"/>
    <x v="26"/>
    <n v="0.30434782608695654"/>
    <n v="0"/>
    <n v="0"/>
    <n v="0"/>
    <n v="23"/>
    <n v="0"/>
    <n v="2015"/>
    <n v="1996"/>
    <x v="2"/>
    <x v="0"/>
    <n v="44"/>
    <n v="5"/>
    <n v="4"/>
    <n v="0"/>
    <n v="0"/>
  </r>
  <r>
    <x v="11"/>
    <x v="75"/>
    <x v="17"/>
    <n v="0.2608695652173913"/>
    <n v="0"/>
    <n v="0"/>
    <n v="0"/>
    <n v="23"/>
    <n v="0"/>
    <n v="2015"/>
    <n v="2001"/>
    <x v="23"/>
    <x v="0"/>
    <n v="14"/>
    <n v="3"/>
    <n v="1"/>
    <n v="0"/>
    <n v="0"/>
  </r>
  <r>
    <x v="11"/>
    <x v="134"/>
    <x v="17"/>
    <n v="0.2608695652173913"/>
    <n v="0"/>
    <n v="0"/>
    <n v="0"/>
    <n v="23"/>
    <n v="0"/>
    <n v="2015"/>
    <n v="1999"/>
    <x v="11"/>
    <x v="0"/>
    <n v="9"/>
    <n v="3"/>
    <n v="0"/>
    <n v="0"/>
    <n v="0"/>
  </r>
  <r>
    <x v="11"/>
    <x v="42"/>
    <x v="18"/>
    <n v="0.21739130434782608"/>
    <n v="0"/>
    <n v="0"/>
    <n v="1"/>
    <n v="23"/>
    <n v="0.2"/>
    <n v="2015"/>
    <n v="2001"/>
    <x v="23"/>
    <x v="0"/>
    <n v="48"/>
    <n v="8"/>
    <n v="14"/>
    <n v="1"/>
    <n v="0"/>
  </r>
  <r>
    <x v="11"/>
    <x v="135"/>
    <x v="18"/>
    <n v="0.21739130434782608"/>
    <n v="0"/>
    <n v="0"/>
    <n v="1"/>
    <n v="23"/>
    <n v="0.2"/>
    <n v="2015"/>
    <n v="2001"/>
    <x v="23"/>
    <x v="0"/>
    <n v="5"/>
    <n v="1"/>
    <n v="1"/>
    <n v="0"/>
    <n v="0"/>
  </r>
  <r>
    <x v="11"/>
    <x v="136"/>
    <x v="18"/>
    <n v="0.21739130434782608"/>
    <n v="0"/>
    <n v="0"/>
    <n v="0"/>
    <n v="23"/>
    <n v="0"/>
    <n v="2015"/>
    <n v="1998"/>
    <x v="3"/>
    <x v="0"/>
    <n v="6"/>
    <n v="2"/>
    <n v="1"/>
    <n v="0"/>
    <n v="0"/>
  </r>
  <r>
    <x v="11"/>
    <x v="124"/>
    <x v="0"/>
    <n v="0.17391304347826086"/>
    <n v="0"/>
    <n v="0"/>
    <n v="1"/>
    <n v="23"/>
    <n v="0.25"/>
    <n v="2015"/>
    <n v="2001"/>
    <x v="23"/>
    <x v="0"/>
    <n v="5"/>
    <n v="2"/>
    <n v="1"/>
    <n v="0"/>
    <n v="0"/>
  </r>
  <r>
    <x v="11"/>
    <x v="137"/>
    <x v="0"/>
    <n v="0.17391304347826086"/>
    <n v="0"/>
    <n v="0"/>
    <n v="1"/>
    <n v="23"/>
    <n v="0.25"/>
    <n v="2015"/>
    <n v="2001"/>
    <x v="23"/>
    <x v="0"/>
    <n v="4"/>
    <n v="1"/>
    <n v="1"/>
    <n v="0"/>
    <n v="0"/>
  </r>
  <r>
    <x v="11"/>
    <x v="72"/>
    <x v="0"/>
    <n v="0.17391304347826086"/>
    <n v="0"/>
    <n v="0"/>
    <n v="0"/>
    <n v="23"/>
    <n v="0"/>
    <n v="2015"/>
    <n v="2001"/>
    <x v="23"/>
    <x v="0"/>
    <n v="12"/>
    <n v="3"/>
    <n v="0"/>
    <n v="0"/>
    <n v="0"/>
  </r>
  <r>
    <x v="11"/>
    <x v="82"/>
    <x v="0"/>
    <n v="0.17391304347826086"/>
    <n v="0"/>
    <n v="0"/>
    <n v="0"/>
    <n v="23"/>
    <n v="0"/>
    <n v="2015"/>
    <n v="2001"/>
    <x v="23"/>
    <x v="0"/>
    <n v="8"/>
    <n v="3"/>
    <n v="0"/>
    <n v="0"/>
    <n v="0"/>
  </r>
  <r>
    <x v="11"/>
    <x v="138"/>
    <x v="0"/>
    <n v="0.17391304347826086"/>
    <n v="0"/>
    <n v="0"/>
    <n v="0"/>
    <n v="23"/>
    <n v="0"/>
    <n v="2015"/>
    <n v="2000"/>
    <x v="9"/>
    <x v="0"/>
    <n v="4"/>
    <n v="1"/>
    <n v="0"/>
    <n v="0"/>
    <n v="0"/>
  </r>
  <r>
    <x v="11"/>
    <x v="139"/>
    <x v="0"/>
    <n v="0.17391304347826086"/>
    <n v="0"/>
    <n v="0"/>
    <n v="0"/>
    <n v="23"/>
    <n v="0"/>
    <n v="2015"/>
    <n v="1998"/>
    <x v="3"/>
    <x v="0"/>
    <n v="19"/>
    <n v="3"/>
    <n v="0"/>
    <n v="0"/>
    <n v="0"/>
  </r>
  <r>
    <x v="11"/>
    <x v="140"/>
    <x v="0"/>
    <n v="0.17391304347826086"/>
    <n v="0"/>
    <n v="0"/>
    <n v="0"/>
    <n v="23"/>
    <n v="0"/>
    <n v="2015"/>
    <n v="1995"/>
    <x v="10"/>
    <x v="0"/>
    <n v="28"/>
    <n v="3"/>
    <n v="3"/>
    <n v="0"/>
    <n v="0"/>
  </r>
  <r>
    <x v="11"/>
    <x v="141"/>
    <x v="1"/>
    <n v="0.13043478260869565"/>
    <n v="0"/>
    <n v="0"/>
    <n v="0"/>
    <n v="23"/>
    <n v="0"/>
    <n v="2015"/>
    <n v="2000"/>
    <x v="9"/>
    <x v="0"/>
    <n v="3"/>
    <n v="1"/>
    <n v="0"/>
    <n v="0"/>
    <n v="0"/>
  </r>
  <r>
    <x v="11"/>
    <x v="142"/>
    <x v="1"/>
    <n v="0.13043478260869565"/>
    <n v="0"/>
    <n v="0"/>
    <n v="0"/>
    <n v="23"/>
    <n v="0"/>
    <n v="2015"/>
    <n v="1998"/>
    <x v="3"/>
    <x v="0"/>
    <n v="11"/>
    <n v="3"/>
    <n v="0"/>
    <n v="0"/>
    <n v="0"/>
  </r>
  <r>
    <x v="11"/>
    <x v="143"/>
    <x v="2"/>
    <n v="8.6956521739130432E-2"/>
    <n v="0"/>
    <n v="0"/>
    <n v="1"/>
    <n v="23"/>
    <n v="0.5"/>
    <n v="2015"/>
    <n v="2001"/>
    <x v="23"/>
    <x v="0"/>
    <n v="2"/>
    <n v="1"/>
    <n v="1"/>
    <n v="0"/>
    <n v="0"/>
  </r>
  <r>
    <x v="11"/>
    <x v="144"/>
    <x v="2"/>
    <n v="8.6956521739130432E-2"/>
    <n v="0"/>
    <n v="0"/>
    <n v="0"/>
    <n v="23"/>
    <n v="0"/>
    <n v="2015"/>
    <n v="2000"/>
    <x v="9"/>
    <x v="0"/>
    <n v="2"/>
    <n v="1"/>
    <n v="0"/>
    <n v="0"/>
    <n v="0"/>
  </r>
  <r>
    <x v="11"/>
    <x v="74"/>
    <x v="3"/>
    <n v="4.3478260869565216E-2"/>
    <n v="0"/>
    <n v="0"/>
    <n v="0"/>
    <n v="23"/>
    <n v="0"/>
    <n v="2015"/>
    <n v="2001"/>
    <x v="23"/>
    <x v="0"/>
    <n v="5"/>
    <n v="3"/>
    <n v="0"/>
    <n v="0"/>
    <n v="0"/>
  </r>
  <r>
    <x v="12"/>
    <x v="111"/>
    <x v="21"/>
    <n v="1"/>
    <n v="0"/>
    <n v="0"/>
    <n v="32"/>
    <n v="16"/>
    <n v="2"/>
    <n v="2014"/>
    <n v="1996"/>
    <x v="8"/>
    <x v="0"/>
    <n v="83"/>
    <n v="5"/>
    <n v="119"/>
    <n v="0"/>
    <n v="0"/>
  </r>
  <r>
    <x v="12"/>
    <x v="145"/>
    <x v="29"/>
    <n v="0.9375"/>
    <n v="1"/>
    <n v="0"/>
    <n v="1"/>
    <n v="16"/>
    <n v="6.6666666666666666E-2"/>
    <n v="2014"/>
    <n v="1996"/>
    <x v="8"/>
    <x v="0"/>
    <n v="45"/>
    <n v="3"/>
    <n v="2"/>
    <n v="2"/>
    <n v="0"/>
  </r>
  <r>
    <x v="12"/>
    <x v="146"/>
    <x v="29"/>
    <n v="0.9375"/>
    <n v="1"/>
    <n v="0"/>
    <n v="0"/>
    <n v="16"/>
    <n v="0"/>
    <n v="2014"/>
    <n v="1969"/>
    <x v="24"/>
    <x v="0"/>
    <n v="49"/>
    <n v="4"/>
    <n v="0"/>
    <n v="2"/>
    <n v="0"/>
  </r>
  <r>
    <x v="12"/>
    <x v="52"/>
    <x v="29"/>
    <n v="0.9375"/>
    <n v="0"/>
    <n v="0"/>
    <n v="0"/>
    <n v="16"/>
    <n v="0"/>
    <n v="2014"/>
    <n v="1996"/>
    <x v="8"/>
    <x v="0"/>
    <n v="200"/>
    <n v="12"/>
    <n v="9"/>
    <n v="1"/>
    <n v="0"/>
  </r>
  <r>
    <x v="12"/>
    <x v="114"/>
    <x v="29"/>
    <n v="0.9375"/>
    <n v="0"/>
    <n v="0"/>
    <n v="0"/>
    <n v="16"/>
    <n v="0"/>
    <n v="2014"/>
    <n v="1996"/>
    <x v="8"/>
    <x v="0"/>
    <n v="69"/>
    <n v="5"/>
    <n v="1"/>
    <n v="0"/>
    <n v="0"/>
  </r>
  <r>
    <x v="12"/>
    <x v="131"/>
    <x v="22"/>
    <n v="0.875"/>
    <n v="1"/>
    <n v="0"/>
    <n v="5"/>
    <n v="16"/>
    <n v="0.35714285714285715"/>
    <n v="2014"/>
    <n v="1992"/>
    <x v="12"/>
    <x v="0"/>
    <n v="39"/>
    <n v="5"/>
    <n v="11"/>
    <n v="3"/>
    <n v="0"/>
  </r>
  <r>
    <x v="12"/>
    <x v="62"/>
    <x v="22"/>
    <n v="0.875"/>
    <n v="1"/>
    <n v="0"/>
    <n v="0"/>
    <n v="16"/>
    <n v="0"/>
    <n v="2014"/>
    <n v="1997"/>
    <x v="3"/>
    <x v="0"/>
    <n v="74"/>
    <n v="5"/>
    <n v="1"/>
    <n v="1"/>
    <n v="0"/>
  </r>
  <r>
    <x v="12"/>
    <x v="147"/>
    <x v="23"/>
    <n v="0.8125"/>
    <n v="0"/>
    <n v="0"/>
    <n v="6"/>
    <n v="16"/>
    <n v="0.46153846153846156"/>
    <n v="2014"/>
    <n v="1996"/>
    <x v="8"/>
    <x v="0"/>
    <n v="28"/>
    <n v="3"/>
    <n v="9"/>
    <n v="0"/>
    <n v="0"/>
  </r>
  <r>
    <x v="12"/>
    <x v="113"/>
    <x v="23"/>
    <n v="0.8125"/>
    <n v="0"/>
    <n v="0"/>
    <n v="3"/>
    <n v="16"/>
    <n v="0.23076923076923078"/>
    <n v="2014"/>
    <n v="1996"/>
    <x v="8"/>
    <x v="0"/>
    <n v="60"/>
    <n v="7"/>
    <n v="6"/>
    <n v="3"/>
    <n v="0"/>
  </r>
  <r>
    <x v="12"/>
    <x v="140"/>
    <x v="23"/>
    <n v="0.8125"/>
    <n v="0"/>
    <n v="0"/>
    <n v="1"/>
    <n v="16"/>
    <n v="7.6923076923076927E-2"/>
    <n v="2014"/>
    <n v="1995"/>
    <x v="2"/>
    <x v="0"/>
    <n v="28"/>
    <n v="3"/>
    <n v="3"/>
    <n v="0"/>
    <n v="0"/>
  </r>
  <r>
    <x v="12"/>
    <x v="115"/>
    <x v="14"/>
    <n v="0.6875"/>
    <n v="0"/>
    <n v="0"/>
    <n v="1"/>
    <n v="16"/>
    <n v="9.0909090909090912E-2"/>
    <n v="2014"/>
    <n v="1996"/>
    <x v="8"/>
    <x v="0"/>
    <n v="44"/>
    <n v="5"/>
    <n v="4"/>
    <n v="0"/>
    <n v="0"/>
  </r>
  <r>
    <x v="12"/>
    <x v="148"/>
    <x v="14"/>
    <n v="0.6875"/>
    <n v="0"/>
    <n v="0"/>
    <n v="1"/>
    <n v="16"/>
    <n v="9.0909090909090912E-2"/>
    <n v="2014"/>
    <n v="1990"/>
    <x v="4"/>
    <x v="0"/>
    <n v="35"/>
    <n v="4"/>
    <n v="1"/>
    <n v="0"/>
    <n v="0"/>
  </r>
  <r>
    <x v="12"/>
    <x v="149"/>
    <x v="14"/>
    <n v="0.6875"/>
    <n v="0"/>
    <n v="0"/>
    <n v="0"/>
    <n v="16"/>
    <n v="0"/>
    <n v="2014"/>
    <n v="1997"/>
    <x v="3"/>
    <x v="0"/>
    <n v="32"/>
    <n v="3"/>
    <n v="0"/>
    <n v="0"/>
    <n v="0"/>
  </r>
  <r>
    <x v="12"/>
    <x v="150"/>
    <x v="14"/>
    <n v="0.6875"/>
    <n v="0"/>
    <n v="0"/>
    <n v="0"/>
    <n v="16"/>
    <n v="0"/>
    <n v="2014"/>
    <n v="1991"/>
    <x v="5"/>
    <x v="0"/>
    <n v="35"/>
    <n v="3"/>
    <n v="0"/>
    <n v="1"/>
    <n v="0"/>
  </r>
  <r>
    <x v="12"/>
    <x v="79"/>
    <x v="25"/>
    <n v="0.5625"/>
    <n v="0"/>
    <n v="0"/>
    <n v="6"/>
    <n v="16"/>
    <n v="0.66666666666666663"/>
    <n v="2014"/>
    <n v="1996"/>
    <x v="8"/>
    <x v="0"/>
    <n v="121"/>
    <n v="9"/>
    <n v="13"/>
    <n v="2"/>
    <n v="1"/>
  </r>
  <r>
    <x v="12"/>
    <x v="139"/>
    <x v="25"/>
    <n v="0.5625"/>
    <n v="0"/>
    <n v="0"/>
    <n v="0"/>
    <n v="16"/>
    <n v="0"/>
    <n v="2014"/>
    <n v="1998"/>
    <x v="11"/>
    <x v="0"/>
    <n v="19"/>
    <n v="3"/>
    <n v="0"/>
    <n v="0"/>
    <n v="0"/>
  </r>
  <r>
    <x v="12"/>
    <x v="151"/>
    <x v="18"/>
    <n v="0.3125"/>
    <n v="0"/>
    <n v="0"/>
    <n v="1"/>
    <n v="16"/>
    <n v="0.2"/>
    <n v="2014"/>
    <n v="1999"/>
    <x v="9"/>
    <x v="0"/>
    <n v="10"/>
    <n v="2"/>
    <n v="1"/>
    <n v="0"/>
    <n v="0"/>
  </r>
  <r>
    <x v="12"/>
    <x v="152"/>
    <x v="18"/>
    <n v="0.3125"/>
    <n v="0"/>
    <n v="0"/>
    <n v="0"/>
    <n v="16"/>
    <n v="0"/>
    <n v="2014"/>
    <n v="1994"/>
    <x v="10"/>
    <x v="0"/>
    <n v="5"/>
    <n v="1"/>
    <n v="0"/>
    <n v="0"/>
    <n v="0"/>
  </r>
  <r>
    <x v="12"/>
    <x v="128"/>
    <x v="0"/>
    <n v="0.25"/>
    <n v="0"/>
    <n v="0"/>
    <n v="0"/>
    <n v="16"/>
    <n v="0"/>
    <n v="2014"/>
    <n v="1999"/>
    <x v="9"/>
    <x v="0"/>
    <n v="19"/>
    <n v="3"/>
    <n v="0"/>
    <n v="0"/>
    <n v="0"/>
  </r>
  <r>
    <x v="12"/>
    <x v="153"/>
    <x v="1"/>
    <n v="0.1875"/>
    <n v="0"/>
    <n v="0"/>
    <n v="0"/>
    <n v="16"/>
    <n v="0"/>
    <n v="2014"/>
    <n v="1998"/>
    <x v="11"/>
    <x v="0"/>
    <n v="3"/>
    <n v="1"/>
    <n v="0"/>
    <n v="0"/>
    <n v="0"/>
  </r>
  <r>
    <x v="12"/>
    <x v="134"/>
    <x v="2"/>
    <n v="0.125"/>
    <n v="0"/>
    <n v="0"/>
    <n v="0"/>
    <n v="16"/>
    <n v="0"/>
    <n v="2014"/>
    <n v="1999"/>
    <x v="9"/>
    <x v="0"/>
    <n v="9"/>
    <n v="3"/>
    <n v="0"/>
    <n v="0"/>
    <n v="0"/>
  </r>
  <r>
    <x v="12"/>
    <x v="136"/>
    <x v="3"/>
    <n v="6.25E-2"/>
    <n v="0"/>
    <n v="0"/>
    <n v="1"/>
    <n v="16"/>
    <n v="1"/>
    <n v="2014"/>
    <n v="1998"/>
    <x v="11"/>
    <x v="0"/>
    <n v="6"/>
    <n v="2"/>
    <n v="1"/>
    <n v="0"/>
    <n v="0"/>
  </r>
  <r>
    <x v="12"/>
    <x v="125"/>
    <x v="3"/>
    <n v="6.25E-2"/>
    <n v="0"/>
    <n v="0"/>
    <n v="0"/>
    <n v="16"/>
    <n v="0"/>
    <n v="2014"/>
    <n v="2000"/>
    <x v="23"/>
    <x v="0"/>
    <n v="15"/>
    <n v="3"/>
    <n v="0"/>
    <n v="0"/>
    <n v="0"/>
  </r>
  <r>
    <x v="12"/>
    <x v="129"/>
    <x v="3"/>
    <n v="6.25E-2"/>
    <n v="0"/>
    <n v="0"/>
    <n v="0"/>
    <n v="16"/>
    <n v="0"/>
    <n v="2014"/>
    <n v="1999"/>
    <x v="9"/>
    <x v="0"/>
    <n v="12"/>
    <n v="2"/>
    <n v="1"/>
    <n v="0"/>
    <n v="0"/>
  </r>
  <r>
    <x v="12"/>
    <x v="142"/>
    <x v="3"/>
    <n v="6.25E-2"/>
    <n v="0"/>
    <n v="0"/>
    <n v="0"/>
    <n v="16"/>
    <n v="0"/>
    <n v="2014"/>
    <n v="1998"/>
    <x v="11"/>
    <x v="0"/>
    <n v="11"/>
    <n v="3"/>
    <n v="0"/>
    <n v="0"/>
    <n v="0"/>
  </r>
  <r>
    <x v="13"/>
    <x v="111"/>
    <x v="22"/>
    <n v="1"/>
    <n v="0"/>
    <n v="0"/>
    <n v="15"/>
    <n v="14"/>
    <n v="1.0714285714285714"/>
    <n v="2013"/>
    <n v="1996"/>
    <x v="3"/>
    <x v="0"/>
    <n v="83"/>
    <n v="5"/>
    <n v="119"/>
    <n v="0"/>
    <n v="0"/>
  </r>
  <r>
    <x v="13"/>
    <x v="117"/>
    <x v="22"/>
    <n v="1"/>
    <n v="0"/>
    <n v="0"/>
    <n v="9"/>
    <n v="14"/>
    <n v="0.6428571428571429"/>
    <n v="2013"/>
    <n v="1996"/>
    <x v="3"/>
    <x v="0"/>
    <n v="37"/>
    <n v="3"/>
    <n v="14"/>
    <n v="0"/>
    <n v="0"/>
  </r>
  <r>
    <x v="13"/>
    <x v="62"/>
    <x v="22"/>
    <n v="1"/>
    <n v="0"/>
    <n v="0"/>
    <n v="1"/>
    <n v="14"/>
    <n v="7.1428571428571425E-2"/>
    <n v="2013"/>
    <n v="1997"/>
    <x v="11"/>
    <x v="0"/>
    <n v="74"/>
    <n v="5"/>
    <n v="1"/>
    <n v="1"/>
    <n v="0"/>
  </r>
  <r>
    <x v="13"/>
    <x v="52"/>
    <x v="22"/>
    <n v="1"/>
    <n v="0"/>
    <n v="0"/>
    <n v="0"/>
    <n v="14"/>
    <n v="0"/>
    <n v="2013"/>
    <n v="1996"/>
    <x v="3"/>
    <x v="0"/>
    <n v="200"/>
    <n v="12"/>
    <n v="9"/>
    <n v="1"/>
    <n v="0"/>
  </r>
  <r>
    <x v="13"/>
    <x v="146"/>
    <x v="22"/>
    <n v="1"/>
    <n v="0"/>
    <n v="0"/>
    <n v="0"/>
    <n v="14"/>
    <n v="0"/>
    <n v="2013"/>
    <n v="1969"/>
    <x v="25"/>
    <x v="0"/>
    <n v="49"/>
    <n v="4"/>
    <n v="0"/>
    <n v="2"/>
    <n v="0"/>
  </r>
  <r>
    <x v="13"/>
    <x v="145"/>
    <x v="23"/>
    <n v="0.9285714285714286"/>
    <n v="1"/>
    <n v="0"/>
    <n v="0"/>
    <n v="14"/>
    <n v="0"/>
    <n v="2013"/>
    <n v="1996"/>
    <x v="3"/>
    <x v="0"/>
    <n v="45"/>
    <n v="3"/>
    <n v="2"/>
    <n v="2"/>
    <n v="0"/>
  </r>
  <r>
    <x v="13"/>
    <x v="79"/>
    <x v="23"/>
    <n v="0.9285714285714286"/>
    <n v="0"/>
    <n v="0"/>
    <n v="0"/>
    <n v="14"/>
    <n v="0"/>
    <n v="2013"/>
    <n v="1996"/>
    <x v="3"/>
    <x v="0"/>
    <n v="121"/>
    <n v="9"/>
    <n v="13"/>
    <n v="2"/>
    <n v="1"/>
  </r>
  <r>
    <x v="13"/>
    <x v="114"/>
    <x v="23"/>
    <n v="0.9285714285714286"/>
    <n v="0"/>
    <n v="0"/>
    <n v="0"/>
    <n v="14"/>
    <n v="0"/>
    <n v="2013"/>
    <n v="1996"/>
    <x v="3"/>
    <x v="0"/>
    <n v="69"/>
    <n v="5"/>
    <n v="1"/>
    <n v="0"/>
    <n v="0"/>
  </r>
  <r>
    <x v="13"/>
    <x v="149"/>
    <x v="24"/>
    <n v="0.8571428571428571"/>
    <n v="0"/>
    <n v="0"/>
    <n v="0"/>
    <n v="14"/>
    <n v="0"/>
    <n v="2013"/>
    <n v="1997"/>
    <x v="11"/>
    <x v="0"/>
    <n v="32"/>
    <n v="3"/>
    <n v="0"/>
    <n v="0"/>
    <n v="0"/>
  </r>
  <r>
    <x v="13"/>
    <x v="140"/>
    <x v="14"/>
    <n v="0.7857142857142857"/>
    <n v="0"/>
    <n v="0"/>
    <n v="2"/>
    <n v="14"/>
    <n v="0.18181818181818182"/>
    <n v="2013"/>
    <n v="1995"/>
    <x v="8"/>
    <x v="0"/>
    <n v="28"/>
    <n v="3"/>
    <n v="3"/>
    <n v="0"/>
    <n v="0"/>
  </r>
  <r>
    <x v="13"/>
    <x v="150"/>
    <x v="15"/>
    <n v="0.7142857142857143"/>
    <n v="1"/>
    <n v="0"/>
    <n v="0"/>
    <n v="14"/>
    <n v="0"/>
    <n v="2013"/>
    <n v="1991"/>
    <x v="12"/>
    <x v="0"/>
    <n v="35"/>
    <n v="3"/>
    <n v="0"/>
    <n v="1"/>
    <n v="0"/>
  </r>
  <r>
    <x v="13"/>
    <x v="115"/>
    <x v="16"/>
    <n v="0.5714285714285714"/>
    <n v="0"/>
    <n v="0"/>
    <n v="2"/>
    <n v="14"/>
    <n v="0.25"/>
    <n v="2013"/>
    <n v="1996"/>
    <x v="3"/>
    <x v="0"/>
    <n v="44"/>
    <n v="5"/>
    <n v="4"/>
    <n v="0"/>
    <n v="0"/>
  </r>
  <r>
    <x v="13"/>
    <x v="147"/>
    <x v="16"/>
    <n v="0.5714285714285714"/>
    <n v="0"/>
    <n v="0"/>
    <n v="1"/>
    <n v="14"/>
    <n v="0.125"/>
    <n v="2013"/>
    <n v="1996"/>
    <x v="3"/>
    <x v="0"/>
    <n v="28"/>
    <n v="3"/>
    <n v="9"/>
    <n v="0"/>
    <n v="0"/>
  </r>
  <r>
    <x v="13"/>
    <x v="154"/>
    <x v="26"/>
    <n v="0.5"/>
    <n v="0"/>
    <n v="0"/>
    <n v="2"/>
    <n v="14"/>
    <n v="0.2857142857142857"/>
    <n v="2013"/>
    <n v="1997"/>
    <x v="11"/>
    <x v="0"/>
    <n v="22"/>
    <n v="2"/>
    <n v="4"/>
    <n v="1"/>
    <n v="0"/>
  </r>
  <r>
    <x v="13"/>
    <x v="142"/>
    <x v="26"/>
    <n v="0.5"/>
    <n v="0"/>
    <n v="0"/>
    <n v="0"/>
    <n v="14"/>
    <n v="0"/>
    <n v="2013"/>
    <n v="1998"/>
    <x v="9"/>
    <x v="0"/>
    <n v="11"/>
    <n v="3"/>
    <n v="0"/>
    <n v="0"/>
    <n v="0"/>
  </r>
  <r>
    <x v="13"/>
    <x v="155"/>
    <x v="26"/>
    <n v="0.5"/>
    <n v="0"/>
    <n v="0"/>
    <n v="0"/>
    <n v="14"/>
    <n v="0"/>
    <n v="2013"/>
    <n v="1996"/>
    <x v="3"/>
    <x v="0"/>
    <n v="22"/>
    <n v="2"/>
    <n v="1"/>
    <n v="0"/>
    <n v="0"/>
  </r>
  <r>
    <x v="13"/>
    <x v="139"/>
    <x v="17"/>
    <n v="0.42857142857142855"/>
    <n v="0"/>
    <n v="0"/>
    <n v="0"/>
    <n v="14"/>
    <n v="0"/>
    <n v="2013"/>
    <n v="1998"/>
    <x v="9"/>
    <x v="0"/>
    <n v="19"/>
    <n v="3"/>
    <n v="0"/>
    <n v="0"/>
    <n v="0"/>
  </r>
  <r>
    <x v="13"/>
    <x v="151"/>
    <x v="18"/>
    <n v="0.35714285714285715"/>
    <n v="0"/>
    <n v="0"/>
    <n v="0"/>
    <n v="14"/>
    <n v="0"/>
    <n v="2013"/>
    <n v="1999"/>
    <x v="23"/>
    <x v="0"/>
    <n v="10"/>
    <n v="2"/>
    <n v="1"/>
    <n v="0"/>
    <n v="0"/>
  </r>
  <r>
    <x v="13"/>
    <x v="148"/>
    <x v="18"/>
    <n v="0.35714285714285715"/>
    <n v="0"/>
    <n v="0"/>
    <n v="0"/>
    <n v="14"/>
    <n v="0"/>
    <n v="2013"/>
    <n v="1990"/>
    <x v="5"/>
    <x v="0"/>
    <n v="35"/>
    <n v="4"/>
    <n v="1"/>
    <n v="0"/>
    <n v="0"/>
  </r>
  <r>
    <x v="13"/>
    <x v="113"/>
    <x v="0"/>
    <n v="0.2857142857142857"/>
    <n v="0"/>
    <n v="0"/>
    <n v="0"/>
    <n v="14"/>
    <n v="0"/>
    <n v="2013"/>
    <n v="1996"/>
    <x v="3"/>
    <x v="0"/>
    <n v="60"/>
    <n v="7"/>
    <n v="6"/>
    <n v="3"/>
    <n v="0"/>
  </r>
  <r>
    <x v="13"/>
    <x v="131"/>
    <x v="1"/>
    <n v="0.21428571428571427"/>
    <n v="0"/>
    <n v="0"/>
    <n v="1"/>
    <n v="14"/>
    <n v="0.33333333333333331"/>
    <n v="2013"/>
    <n v="1992"/>
    <x v="1"/>
    <x v="0"/>
    <n v="39"/>
    <n v="5"/>
    <n v="11"/>
    <n v="3"/>
    <n v="0"/>
  </r>
  <r>
    <x v="13"/>
    <x v="156"/>
    <x v="1"/>
    <n v="0.21428571428571427"/>
    <n v="0"/>
    <n v="0"/>
    <n v="0"/>
    <n v="14"/>
    <n v="0"/>
    <n v="2013"/>
    <n v="1999"/>
    <x v="23"/>
    <x v="0"/>
    <n v="3"/>
    <n v="1"/>
    <n v="0"/>
    <n v="0"/>
    <n v="0"/>
  </r>
  <r>
    <x v="13"/>
    <x v="157"/>
    <x v="1"/>
    <n v="0.21428571428571427"/>
    <n v="0"/>
    <n v="0"/>
    <n v="0"/>
    <n v="14"/>
    <n v="0"/>
    <n v="2013"/>
    <n v="1996"/>
    <x v="3"/>
    <x v="0"/>
    <n v="3"/>
    <n v="1"/>
    <n v="0"/>
    <n v="0"/>
    <n v="0"/>
  </r>
  <r>
    <x v="13"/>
    <x v="128"/>
    <x v="3"/>
    <n v="7.1428571428571425E-2"/>
    <n v="0"/>
    <n v="0"/>
    <n v="0"/>
    <n v="14"/>
    <n v="0"/>
    <n v="2013"/>
    <n v="1999"/>
    <x v="23"/>
    <x v="0"/>
    <n v="19"/>
    <n v="3"/>
    <n v="0"/>
    <n v="0"/>
    <n v="0"/>
  </r>
  <r>
    <x v="13"/>
    <x v="134"/>
    <x v="3"/>
    <n v="7.1428571428571425E-2"/>
    <n v="0"/>
    <n v="0"/>
    <n v="0"/>
    <n v="14"/>
    <n v="0"/>
    <n v="2013"/>
    <n v="1999"/>
    <x v="23"/>
    <x v="0"/>
    <n v="9"/>
    <n v="3"/>
    <n v="0"/>
    <n v="0"/>
    <n v="0"/>
  </r>
  <r>
    <x v="13"/>
    <x v="158"/>
    <x v="3"/>
    <n v="7.1428571428571425E-2"/>
    <n v="0"/>
    <n v="0"/>
    <n v="0"/>
    <n v="14"/>
    <n v="0"/>
    <n v="2013"/>
    <n v="1999"/>
    <x v="23"/>
    <x v="0"/>
    <n v="2"/>
    <n v="2"/>
    <n v="0"/>
    <n v="0"/>
    <n v="0"/>
  </r>
  <r>
    <x v="14"/>
    <x v="111"/>
    <x v="13"/>
    <n v="1"/>
    <n v="0"/>
    <n v="0"/>
    <n v="4"/>
    <n v="18"/>
    <n v="0.22222222222222221"/>
    <n v="2012"/>
    <n v="1996"/>
    <x v="11"/>
    <x v="0"/>
    <n v="83"/>
    <n v="5"/>
    <n v="119"/>
    <n v="0"/>
    <n v="0"/>
  </r>
  <r>
    <x v="14"/>
    <x v="113"/>
    <x v="13"/>
    <n v="1"/>
    <n v="1"/>
    <n v="0"/>
    <n v="0"/>
    <n v="18"/>
    <n v="0"/>
    <n v="2012"/>
    <n v="1996"/>
    <x v="11"/>
    <x v="0"/>
    <n v="60"/>
    <n v="7"/>
    <n v="6"/>
    <n v="3"/>
    <n v="0"/>
  </r>
  <r>
    <x v="14"/>
    <x v="146"/>
    <x v="13"/>
    <n v="1"/>
    <n v="1"/>
    <n v="0"/>
    <n v="0"/>
    <n v="18"/>
    <n v="0"/>
    <n v="2012"/>
    <n v="1969"/>
    <x v="26"/>
    <x v="0"/>
    <n v="49"/>
    <n v="4"/>
    <n v="0"/>
    <n v="2"/>
    <n v="0"/>
  </r>
  <r>
    <x v="14"/>
    <x v="148"/>
    <x v="13"/>
    <n v="1"/>
    <n v="0"/>
    <n v="0"/>
    <n v="0"/>
    <n v="18"/>
    <n v="0"/>
    <n v="2012"/>
    <n v="1990"/>
    <x v="12"/>
    <x v="0"/>
    <n v="35"/>
    <n v="4"/>
    <n v="1"/>
    <n v="0"/>
    <n v="0"/>
  </r>
  <r>
    <x v="14"/>
    <x v="145"/>
    <x v="28"/>
    <n v="0.94444444444444442"/>
    <n v="0"/>
    <n v="0"/>
    <n v="1"/>
    <n v="18"/>
    <n v="5.8823529411764705E-2"/>
    <n v="2012"/>
    <n v="1996"/>
    <x v="11"/>
    <x v="0"/>
    <n v="45"/>
    <n v="3"/>
    <n v="2"/>
    <n v="2"/>
    <n v="0"/>
  </r>
  <r>
    <x v="14"/>
    <x v="117"/>
    <x v="21"/>
    <n v="0.88888888888888884"/>
    <n v="0"/>
    <n v="0"/>
    <n v="4"/>
    <n v="18"/>
    <n v="0.25"/>
    <n v="2012"/>
    <n v="1996"/>
    <x v="11"/>
    <x v="0"/>
    <n v="37"/>
    <n v="3"/>
    <n v="14"/>
    <n v="0"/>
    <n v="0"/>
  </r>
  <r>
    <x v="14"/>
    <x v="79"/>
    <x v="21"/>
    <n v="0.88888888888888884"/>
    <n v="1"/>
    <n v="0"/>
    <n v="0"/>
    <n v="18"/>
    <n v="0"/>
    <n v="2012"/>
    <n v="1996"/>
    <x v="11"/>
    <x v="0"/>
    <n v="121"/>
    <n v="9"/>
    <n v="13"/>
    <n v="2"/>
    <n v="1"/>
  </r>
  <r>
    <x v="14"/>
    <x v="52"/>
    <x v="21"/>
    <n v="0.88888888888888884"/>
    <n v="0"/>
    <n v="0"/>
    <n v="0"/>
    <n v="18"/>
    <n v="0"/>
    <n v="2012"/>
    <n v="1996"/>
    <x v="11"/>
    <x v="0"/>
    <n v="200"/>
    <n v="12"/>
    <n v="9"/>
    <n v="1"/>
    <n v="0"/>
  </r>
  <r>
    <x v="14"/>
    <x v="154"/>
    <x v="29"/>
    <n v="0.83333333333333337"/>
    <n v="1"/>
    <n v="0"/>
    <n v="2"/>
    <n v="18"/>
    <n v="0.13333333333333333"/>
    <n v="2012"/>
    <n v="1997"/>
    <x v="9"/>
    <x v="0"/>
    <n v="22"/>
    <n v="2"/>
    <n v="4"/>
    <n v="1"/>
    <n v="0"/>
  </r>
  <r>
    <x v="14"/>
    <x v="155"/>
    <x v="29"/>
    <n v="0.83333333333333337"/>
    <n v="0"/>
    <n v="0"/>
    <n v="1"/>
    <n v="18"/>
    <n v="6.6666666666666666E-2"/>
    <n v="2012"/>
    <n v="1996"/>
    <x v="11"/>
    <x v="0"/>
    <n v="22"/>
    <n v="2"/>
    <n v="1"/>
    <n v="0"/>
    <n v="0"/>
  </r>
  <r>
    <x v="14"/>
    <x v="62"/>
    <x v="29"/>
    <n v="0.83333333333333337"/>
    <n v="0"/>
    <n v="0"/>
    <n v="0"/>
    <n v="18"/>
    <n v="0"/>
    <n v="2012"/>
    <n v="1997"/>
    <x v="9"/>
    <x v="0"/>
    <n v="74"/>
    <n v="5"/>
    <n v="1"/>
    <n v="1"/>
    <n v="0"/>
  </r>
  <r>
    <x v="14"/>
    <x v="150"/>
    <x v="22"/>
    <n v="0.77777777777777779"/>
    <n v="0"/>
    <n v="0"/>
    <n v="0"/>
    <n v="18"/>
    <n v="0"/>
    <n v="2012"/>
    <n v="1991"/>
    <x v="1"/>
    <x v="0"/>
    <n v="35"/>
    <n v="3"/>
    <n v="0"/>
    <n v="1"/>
    <n v="0"/>
  </r>
  <r>
    <x v="14"/>
    <x v="116"/>
    <x v="24"/>
    <n v="0.66666666666666663"/>
    <n v="0"/>
    <n v="0"/>
    <n v="2"/>
    <n v="18"/>
    <n v="0.16666666666666666"/>
    <n v="2012"/>
    <n v="1996"/>
    <x v="11"/>
    <x v="0"/>
    <n v="20"/>
    <n v="2"/>
    <n v="4"/>
    <n v="0"/>
    <n v="0"/>
  </r>
  <r>
    <x v="14"/>
    <x v="114"/>
    <x v="14"/>
    <n v="0.61111111111111116"/>
    <n v="0"/>
    <n v="0"/>
    <n v="0"/>
    <n v="18"/>
    <n v="0"/>
    <n v="2012"/>
    <n v="1996"/>
    <x v="11"/>
    <x v="0"/>
    <n v="69"/>
    <n v="5"/>
    <n v="1"/>
    <n v="0"/>
    <n v="0"/>
  </r>
  <r>
    <x v="14"/>
    <x v="131"/>
    <x v="15"/>
    <n v="0.55555555555555558"/>
    <n v="0"/>
    <n v="0"/>
    <n v="1"/>
    <n v="18"/>
    <n v="0.1"/>
    <n v="2012"/>
    <n v="1992"/>
    <x v="10"/>
    <x v="0"/>
    <n v="39"/>
    <n v="5"/>
    <n v="11"/>
    <n v="3"/>
    <n v="0"/>
  </r>
  <r>
    <x v="14"/>
    <x v="149"/>
    <x v="25"/>
    <n v="0.5"/>
    <n v="0"/>
    <n v="0"/>
    <n v="0"/>
    <n v="18"/>
    <n v="0"/>
    <n v="2012"/>
    <n v="1997"/>
    <x v="9"/>
    <x v="0"/>
    <n v="32"/>
    <n v="3"/>
    <n v="0"/>
    <n v="0"/>
    <n v="0"/>
  </r>
  <r>
    <x v="14"/>
    <x v="115"/>
    <x v="25"/>
    <n v="0.5"/>
    <n v="0"/>
    <n v="0"/>
    <n v="0"/>
    <n v="18"/>
    <n v="0"/>
    <n v="2012"/>
    <n v="1996"/>
    <x v="11"/>
    <x v="0"/>
    <n v="44"/>
    <n v="5"/>
    <n v="4"/>
    <n v="0"/>
    <n v="0"/>
  </r>
  <r>
    <x v="14"/>
    <x v="147"/>
    <x v="26"/>
    <n v="0.3888888888888889"/>
    <n v="0"/>
    <n v="0"/>
    <n v="2"/>
    <n v="18"/>
    <n v="0.2857142857142857"/>
    <n v="2012"/>
    <n v="1996"/>
    <x v="11"/>
    <x v="0"/>
    <n v="28"/>
    <n v="3"/>
    <n v="9"/>
    <n v="0"/>
    <n v="0"/>
  </r>
  <r>
    <x v="14"/>
    <x v="159"/>
    <x v="26"/>
    <n v="0.3888888888888889"/>
    <n v="0"/>
    <n v="0"/>
    <n v="1"/>
    <n v="18"/>
    <n v="0.14285714285714285"/>
    <n v="2012"/>
    <n v="1994"/>
    <x v="8"/>
    <x v="0"/>
    <n v="9"/>
    <n v="2"/>
    <n v="1"/>
    <n v="0"/>
    <n v="0"/>
  </r>
  <r>
    <x v="14"/>
    <x v="160"/>
    <x v="1"/>
    <n v="0.16666666666666666"/>
    <n v="0"/>
    <n v="0"/>
    <n v="0"/>
    <n v="18"/>
    <n v="0"/>
    <n v="2012"/>
    <n v="1996"/>
    <x v="11"/>
    <x v="0"/>
    <n v="3"/>
    <n v="1"/>
    <n v="0"/>
    <n v="0"/>
    <n v="0"/>
  </r>
  <r>
    <x v="14"/>
    <x v="158"/>
    <x v="3"/>
    <n v="5.5555555555555552E-2"/>
    <n v="0"/>
    <n v="0"/>
    <n v="0"/>
    <n v="18"/>
    <n v="0"/>
    <n v="2012"/>
    <n v="1999"/>
    <x v="27"/>
    <x v="0"/>
    <n v="2"/>
    <n v="2"/>
    <n v="0"/>
    <n v="0"/>
    <n v="0"/>
  </r>
  <r>
    <x v="15"/>
    <x v="161"/>
    <x v="10"/>
    <n v="1"/>
    <n v="1"/>
    <n v="0"/>
    <n v="3"/>
    <n v="24"/>
    <n v="0.125"/>
    <n v="2011"/>
    <n v="1991"/>
    <x v="10"/>
    <x v="3"/>
    <n v="43"/>
    <n v="2"/>
    <n v="3"/>
    <n v="1"/>
    <n v="0"/>
  </r>
  <r>
    <x v="15"/>
    <x v="162"/>
    <x v="10"/>
    <n v="1"/>
    <n v="0"/>
    <n v="0"/>
    <n v="2"/>
    <n v="24"/>
    <n v="8.3333333333333329E-2"/>
    <n v="2011"/>
    <n v="1992"/>
    <x v="2"/>
    <x v="3"/>
    <n v="45"/>
    <n v="2"/>
    <n v="10"/>
    <n v="0"/>
    <n v="0"/>
  </r>
  <r>
    <x v="15"/>
    <x v="163"/>
    <x v="10"/>
    <n v="1"/>
    <n v="2"/>
    <n v="0"/>
    <n v="1"/>
    <n v="24"/>
    <n v="4.1666666666666664E-2"/>
    <n v="2011"/>
    <n v="1990"/>
    <x v="1"/>
    <x v="3"/>
    <n v="41"/>
    <n v="2"/>
    <n v="2"/>
    <n v="3"/>
    <n v="0"/>
  </r>
  <r>
    <x v="15"/>
    <x v="164"/>
    <x v="27"/>
    <n v="0.95833333333333337"/>
    <n v="0"/>
    <n v="0"/>
    <n v="1"/>
    <n v="24"/>
    <n v="4.3478260869565216E-2"/>
    <n v="2011"/>
    <n v="1984"/>
    <x v="7"/>
    <x v="3"/>
    <n v="23"/>
    <n v="1"/>
    <n v="1"/>
    <n v="0"/>
    <n v="0"/>
  </r>
  <r>
    <x v="15"/>
    <x v="165"/>
    <x v="27"/>
    <n v="0.95833333333333337"/>
    <n v="0"/>
    <n v="0"/>
    <n v="1"/>
    <n v="24"/>
    <n v="4.3478260869565216E-2"/>
    <n v="2011"/>
    <n v="1984"/>
    <x v="7"/>
    <x v="3"/>
    <n v="23"/>
    <n v="1"/>
    <n v="1"/>
    <n v="0"/>
    <n v="0"/>
  </r>
  <r>
    <x v="15"/>
    <x v="166"/>
    <x v="11"/>
    <n v="0.875"/>
    <n v="3"/>
    <n v="0"/>
    <n v="3"/>
    <n v="24"/>
    <n v="0.14285714285714285"/>
    <n v="2011"/>
    <n v="1989"/>
    <x v="12"/>
    <x v="3"/>
    <n v="27"/>
    <n v="2"/>
    <n v="3"/>
    <n v="3"/>
    <n v="0"/>
  </r>
  <r>
    <x v="15"/>
    <x v="167"/>
    <x v="20"/>
    <n v="0.79166666666666663"/>
    <n v="1"/>
    <n v="0"/>
    <n v="2"/>
    <n v="24"/>
    <n v="0.10526315789473684"/>
    <n v="2011"/>
    <n v="1990"/>
    <x v="1"/>
    <x v="3"/>
    <n v="36"/>
    <n v="2"/>
    <n v="5"/>
    <n v="4"/>
    <n v="0"/>
  </r>
  <r>
    <x v="15"/>
    <x v="28"/>
    <x v="13"/>
    <n v="0.75"/>
    <n v="1"/>
    <n v="0"/>
    <n v="3"/>
    <n v="24"/>
    <n v="0.16666666666666666"/>
    <n v="2011"/>
    <n v="1993"/>
    <x v="8"/>
    <x v="3"/>
    <n v="92"/>
    <n v="7"/>
    <n v="5"/>
    <n v="4"/>
    <n v="0"/>
  </r>
  <r>
    <x v="15"/>
    <x v="168"/>
    <x v="28"/>
    <n v="0.70833333333333337"/>
    <n v="0"/>
    <n v="0"/>
    <n v="9"/>
    <n v="24"/>
    <n v="0.52941176470588236"/>
    <n v="2011"/>
    <n v="1992"/>
    <x v="2"/>
    <x v="3"/>
    <n v="38"/>
    <n v="2"/>
    <n v="23"/>
    <n v="1"/>
    <n v="0"/>
  </r>
  <r>
    <x v="15"/>
    <x v="169"/>
    <x v="22"/>
    <n v="0.58333333333333337"/>
    <n v="1"/>
    <n v="0"/>
    <n v="1"/>
    <n v="24"/>
    <n v="7.1428571428571425E-2"/>
    <n v="2011"/>
    <n v="1991"/>
    <x v="10"/>
    <x v="3"/>
    <n v="29"/>
    <n v="2"/>
    <n v="1"/>
    <n v="2"/>
    <n v="0"/>
  </r>
  <r>
    <x v="15"/>
    <x v="170"/>
    <x v="23"/>
    <n v="0.54166666666666663"/>
    <n v="0"/>
    <n v="0"/>
    <n v="0"/>
    <n v="24"/>
    <n v="0"/>
    <n v="2011"/>
    <n v="1993"/>
    <x v="8"/>
    <x v="3"/>
    <n v="13"/>
    <n v="1"/>
    <n v="0"/>
    <n v="0"/>
    <n v="0"/>
  </r>
  <r>
    <x v="15"/>
    <x v="87"/>
    <x v="24"/>
    <n v="0.5"/>
    <n v="0"/>
    <n v="0"/>
    <n v="1"/>
    <n v="24"/>
    <n v="8.3333333333333329E-2"/>
    <n v="2011"/>
    <n v="1989"/>
    <x v="12"/>
    <x v="3"/>
    <n v="39"/>
    <n v="4"/>
    <n v="1"/>
    <n v="1"/>
    <n v="0"/>
  </r>
  <r>
    <x v="15"/>
    <x v="171"/>
    <x v="25"/>
    <n v="0.375"/>
    <n v="0"/>
    <n v="0"/>
    <n v="1"/>
    <n v="24"/>
    <n v="0.1111111111111111"/>
    <n v="2011"/>
    <n v="1990"/>
    <x v="1"/>
    <x v="3"/>
    <n v="23"/>
    <n v="2"/>
    <n v="1"/>
    <n v="0"/>
    <n v="0"/>
  </r>
  <r>
    <x v="15"/>
    <x v="172"/>
    <x v="16"/>
    <n v="0.33333333333333331"/>
    <n v="2"/>
    <n v="0"/>
    <n v="2"/>
    <n v="24"/>
    <n v="0.25"/>
    <n v="2011"/>
    <n v="1992"/>
    <x v="2"/>
    <x v="3"/>
    <n v="21"/>
    <n v="2"/>
    <n v="10"/>
    <n v="2"/>
    <n v="0"/>
  </r>
  <r>
    <x v="15"/>
    <x v="173"/>
    <x v="17"/>
    <n v="0.25"/>
    <n v="0"/>
    <n v="0"/>
    <n v="0"/>
    <n v="24"/>
    <n v="0"/>
    <n v="2011"/>
    <n v="1992"/>
    <x v="2"/>
    <x v="3"/>
    <n v="6"/>
    <n v="1"/>
    <n v="0"/>
    <n v="0"/>
    <n v="0"/>
  </r>
  <r>
    <x v="15"/>
    <x v="174"/>
    <x v="18"/>
    <n v="0.20833333333333334"/>
    <n v="0"/>
    <n v="0"/>
    <n v="0"/>
    <n v="24"/>
    <n v="0"/>
    <n v="2011"/>
    <n v="1993"/>
    <x v="8"/>
    <x v="3"/>
    <n v="5"/>
    <n v="1"/>
    <n v="0"/>
    <n v="0"/>
    <n v="0"/>
  </r>
  <r>
    <x v="15"/>
    <x v="175"/>
    <x v="0"/>
    <n v="0.16666666666666666"/>
    <n v="0"/>
    <n v="0"/>
    <n v="0"/>
    <n v="24"/>
    <n v="0"/>
    <n v="2011"/>
    <n v="1992"/>
    <x v="2"/>
    <x v="3"/>
    <n v="8"/>
    <n v="2"/>
    <n v="0"/>
    <n v="0"/>
    <n v="0"/>
  </r>
  <r>
    <x v="15"/>
    <x v="176"/>
    <x v="0"/>
    <n v="0.16666666666666666"/>
    <n v="0"/>
    <n v="0"/>
    <n v="0"/>
    <n v="24"/>
    <n v="0"/>
    <n v="2011"/>
    <n v="1991"/>
    <x v="10"/>
    <x v="3"/>
    <n v="4"/>
    <n v="1"/>
    <n v="0"/>
    <n v="0"/>
    <n v="0"/>
  </r>
  <r>
    <x v="15"/>
    <x v="131"/>
    <x v="1"/>
    <n v="0.125"/>
    <n v="0"/>
    <n v="0"/>
    <n v="1"/>
    <n v="24"/>
    <n v="0.33333333333333331"/>
    <n v="2011"/>
    <n v="1992"/>
    <x v="2"/>
    <x v="3"/>
    <n v="39"/>
    <n v="5"/>
    <n v="11"/>
    <n v="3"/>
    <n v="0"/>
  </r>
  <r>
    <x v="15"/>
    <x v="159"/>
    <x v="2"/>
    <n v="8.3333333333333329E-2"/>
    <n v="0"/>
    <n v="0"/>
    <n v="0"/>
    <n v="24"/>
    <n v="0"/>
    <n v="2011"/>
    <n v="1994"/>
    <x v="3"/>
    <x v="3"/>
    <n v="9"/>
    <n v="2"/>
    <n v="1"/>
    <n v="0"/>
    <n v="0"/>
  </r>
  <r>
    <x v="15"/>
    <x v="146"/>
    <x v="2"/>
    <n v="8.3333333333333329E-2"/>
    <n v="0"/>
    <n v="0"/>
    <n v="0"/>
    <n v="24"/>
    <n v="0"/>
    <n v="2011"/>
    <n v="1969"/>
    <x v="28"/>
    <x v="3"/>
    <n v="49"/>
    <n v="4"/>
    <n v="0"/>
    <n v="2"/>
    <n v="0"/>
  </r>
  <r>
    <x v="15"/>
    <x v="113"/>
    <x v="3"/>
    <n v="4.1666666666666664E-2"/>
    <n v="0"/>
    <n v="0"/>
    <n v="0"/>
    <n v="24"/>
    <n v="0"/>
    <n v="2011"/>
    <n v="1996"/>
    <x v="9"/>
    <x v="3"/>
    <n v="60"/>
    <n v="7"/>
    <n v="6"/>
    <n v="3"/>
    <n v="0"/>
  </r>
  <r>
    <x v="15"/>
    <x v="177"/>
    <x v="3"/>
    <n v="4.1666666666666664E-2"/>
    <n v="0"/>
    <n v="0"/>
    <n v="0"/>
    <n v="24"/>
    <n v="0"/>
    <n v="2011"/>
    <n v="1992"/>
    <x v="2"/>
    <x v="3"/>
    <n v="20"/>
    <n v="2"/>
    <n v="0"/>
    <n v="3"/>
    <n v="0"/>
  </r>
  <r>
    <x v="15"/>
    <x v="148"/>
    <x v="3"/>
    <n v="4.1666666666666664E-2"/>
    <n v="0"/>
    <n v="0"/>
    <n v="0"/>
    <n v="24"/>
    <n v="0"/>
    <n v="2011"/>
    <n v="1990"/>
    <x v="1"/>
    <x v="3"/>
    <n v="35"/>
    <n v="4"/>
    <n v="1"/>
    <n v="0"/>
    <n v="0"/>
  </r>
  <r>
    <x v="16"/>
    <x v="168"/>
    <x v="11"/>
    <n v="0.95454545454545459"/>
    <n v="1"/>
    <n v="0"/>
    <n v="14"/>
    <n v="22"/>
    <n v="0.66666666666666663"/>
    <n v="2010"/>
    <n v="1992"/>
    <x v="8"/>
    <x v="3"/>
    <n v="38"/>
    <n v="2"/>
    <n v="23"/>
    <n v="1"/>
    <n v="0"/>
  </r>
  <r>
    <x v="16"/>
    <x v="162"/>
    <x v="11"/>
    <n v="0.95454545454545459"/>
    <n v="0"/>
    <n v="0"/>
    <n v="8"/>
    <n v="22"/>
    <n v="0.38095238095238093"/>
    <n v="2010"/>
    <n v="1992"/>
    <x v="8"/>
    <x v="3"/>
    <n v="45"/>
    <n v="2"/>
    <n v="10"/>
    <n v="0"/>
    <n v="0"/>
  </r>
  <r>
    <x v="16"/>
    <x v="177"/>
    <x v="20"/>
    <n v="0.86363636363636365"/>
    <n v="3"/>
    <n v="0"/>
    <n v="0"/>
    <n v="22"/>
    <n v="0"/>
    <n v="2010"/>
    <n v="1992"/>
    <x v="8"/>
    <x v="3"/>
    <n v="20"/>
    <n v="2"/>
    <n v="0"/>
    <n v="3"/>
    <n v="0"/>
  </r>
  <r>
    <x v="16"/>
    <x v="161"/>
    <x v="20"/>
    <n v="0.86363636363636365"/>
    <n v="0"/>
    <n v="0"/>
    <n v="0"/>
    <n v="22"/>
    <n v="0"/>
    <n v="2010"/>
    <n v="1991"/>
    <x v="2"/>
    <x v="3"/>
    <n v="43"/>
    <n v="2"/>
    <n v="3"/>
    <n v="1"/>
    <n v="0"/>
  </r>
  <r>
    <x v="16"/>
    <x v="167"/>
    <x v="28"/>
    <n v="0.77272727272727271"/>
    <n v="3"/>
    <n v="0"/>
    <n v="3"/>
    <n v="22"/>
    <n v="0.17647058823529413"/>
    <n v="2010"/>
    <n v="1990"/>
    <x v="10"/>
    <x v="3"/>
    <n v="36"/>
    <n v="2"/>
    <n v="5"/>
    <n v="4"/>
    <n v="0"/>
  </r>
  <r>
    <x v="16"/>
    <x v="163"/>
    <x v="28"/>
    <n v="0.77272727272727271"/>
    <n v="1"/>
    <n v="0"/>
    <n v="1"/>
    <n v="22"/>
    <n v="5.8823529411764705E-2"/>
    <n v="2010"/>
    <n v="1990"/>
    <x v="10"/>
    <x v="3"/>
    <n v="41"/>
    <n v="2"/>
    <n v="2"/>
    <n v="3"/>
    <n v="0"/>
  </r>
  <r>
    <x v="16"/>
    <x v="178"/>
    <x v="21"/>
    <n v="0.72727272727272729"/>
    <n v="0"/>
    <n v="0"/>
    <n v="0"/>
    <n v="22"/>
    <n v="0"/>
    <n v="2010"/>
    <m/>
    <x v="29"/>
    <x v="3"/>
    <n v="16"/>
    <n v="1"/>
    <n v="0"/>
    <n v="0"/>
    <n v="0"/>
  </r>
  <r>
    <x v="16"/>
    <x v="169"/>
    <x v="29"/>
    <n v="0.68181818181818177"/>
    <n v="1"/>
    <n v="0"/>
    <n v="0"/>
    <n v="22"/>
    <n v="0"/>
    <n v="2010"/>
    <n v="1991"/>
    <x v="2"/>
    <x v="3"/>
    <n v="29"/>
    <n v="2"/>
    <n v="1"/>
    <n v="2"/>
    <n v="0"/>
  </r>
  <r>
    <x v="16"/>
    <x v="171"/>
    <x v="22"/>
    <n v="0.63636363636363635"/>
    <n v="0"/>
    <n v="0"/>
    <n v="0"/>
    <n v="22"/>
    <n v="0"/>
    <n v="2010"/>
    <n v="1990"/>
    <x v="10"/>
    <x v="3"/>
    <n v="23"/>
    <n v="2"/>
    <n v="1"/>
    <n v="0"/>
    <n v="0"/>
  </r>
  <r>
    <x v="16"/>
    <x v="172"/>
    <x v="23"/>
    <n v="0.59090909090909094"/>
    <n v="0"/>
    <n v="0"/>
    <n v="8"/>
    <n v="22"/>
    <n v="0.61538461538461542"/>
    <n v="2010"/>
    <n v="1992"/>
    <x v="8"/>
    <x v="3"/>
    <n v="21"/>
    <n v="2"/>
    <n v="10"/>
    <n v="2"/>
    <n v="0"/>
  </r>
  <r>
    <x v="16"/>
    <x v="179"/>
    <x v="15"/>
    <n v="0.45454545454545453"/>
    <n v="0"/>
    <n v="0"/>
    <n v="0"/>
    <n v="22"/>
    <n v="0"/>
    <n v="2010"/>
    <n v="1992"/>
    <x v="8"/>
    <x v="3"/>
    <n v="10"/>
    <n v="1"/>
    <n v="0"/>
    <n v="0"/>
    <n v="0"/>
  </r>
  <r>
    <x v="16"/>
    <x v="180"/>
    <x v="15"/>
    <n v="0.45454545454545453"/>
    <n v="0"/>
    <n v="0"/>
    <n v="0"/>
    <n v="22"/>
    <n v="0"/>
    <n v="2010"/>
    <n v="1970"/>
    <x v="30"/>
    <x v="3"/>
    <n v="10"/>
    <n v="1"/>
    <n v="0"/>
    <n v="0"/>
    <n v="0"/>
  </r>
  <r>
    <x v="16"/>
    <x v="181"/>
    <x v="16"/>
    <n v="0.36363636363636365"/>
    <n v="1"/>
    <n v="0"/>
    <n v="0"/>
    <n v="22"/>
    <n v="0"/>
    <n v="2010"/>
    <n v="1991"/>
    <x v="2"/>
    <x v="3"/>
    <n v="8"/>
    <n v="1"/>
    <n v="0"/>
    <n v="1"/>
    <n v="0"/>
  </r>
  <r>
    <x v="16"/>
    <x v="87"/>
    <x v="16"/>
    <n v="0.36363636363636365"/>
    <n v="0"/>
    <n v="0"/>
    <n v="0"/>
    <n v="22"/>
    <n v="0"/>
    <n v="2010"/>
    <n v="1989"/>
    <x v="1"/>
    <x v="3"/>
    <n v="39"/>
    <n v="4"/>
    <n v="1"/>
    <n v="1"/>
    <n v="0"/>
  </r>
  <r>
    <x v="16"/>
    <x v="182"/>
    <x v="26"/>
    <n v="0.31818181818181818"/>
    <n v="0"/>
    <n v="0"/>
    <n v="1"/>
    <n v="22"/>
    <n v="0.14285714285714285"/>
    <n v="2010"/>
    <n v="1992"/>
    <x v="8"/>
    <x v="3"/>
    <n v="7"/>
    <n v="1"/>
    <n v="1"/>
    <n v="0"/>
    <n v="0"/>
  </r>
  <r>
    <x v="16"/>
    <x v="166"/>
    <x v="17"/>
    <n v="0.27272727272727271"/>
    <n v="0"/>
    <n v="0"/>
    <n v="0"/>
    <n v="22"/>
    <n v="0"/>
    <n v="2010"/>
    <n v="1989"/>
    <x v="1"/>
    <x v="3"/>
    <n v="27"/>
    <n v="2"/>
    <n v="3"/>
    <n v="3"/>
    <n v="0"/>
  </r>
  <r>
    <x v="16"/>
    <x v="183"/>
    <x v="0"/>
    <n v="0.18181818181818182"/>
    <n v="1"/>
    <n v="0"/>
    <n v="3"/>
    <n v="22"/>
    <n v="0.75"/>
    <n v="2010"/>
    <n v="1989"/>
    <x v="1"/>
    <x v="3"/>
    <n v="4"/>
    <n v="1"/>
    <n v="3"/>
    <n v="1"/>
    <n v="0"/>
  </r>
  <r>
    <x v="16"/>
    <x v="184"/>
    <x v="0"/>
    <n v="0.18181818181818182"/>
    <n v="0"/>
    <n v="0"/>
    <n v="1"/>
    <n v="22"/>
    <n v="0.25"/>
    <n v="2010"/>
    <n v="1990"/>
    <x v="10"/>
    <x v="3"/>
    <n v="4"/>
    <n v="1"/>
    <n v="1"/>
    <n v="0"/>
    <n v="0"/>
  </r>
  <r>
    <x v="16"/>
    <x v="28"/>
    <x v="0"/>
    <n v="0.18181818181818182"/>
    <n v="1"/>
    <n v="0"/>
    <n v="0"/>
    <n v="22"/>
    <n v="0"/>
    <n v="2010"/>
    <n v="1993"/>
    <x v="3"/>
    <x v="3"/>
    <n v="92"/>
    <n v="7"/>
    <n v="5"/>
    <n v="4"/>
    <n v="0"/>
  </r>
  <r>
    <x v="16"/>
    <x v="175"/>
    <x v="0"/>
    <n v="0.18181818181818182"/>
    <n v="0"/>
    <n v="0"/>
    <n v="0"/>
    <n v="22"/>
    <n v="0"/>
    <n v="2010"/>
    <n v="1992"/>
    <x v="8"/>
    <x v="3"/>
    <n v="8"/>
    <n v="2"/>
    <n v="0"/>
    <n v="0"/>
    <n v="0"/>
  </r>
  <r>
    <x v="16"/>
    <x v="185"/>
    <x v="0"/>
    <n v="0.18181818181818182"/>
    <n v="0"/>
    <n v="0"/>
    <n v="0"/>
    <n v="22"/>
    <n v="0"/>
    <n v="2010"/>
    <m/>
    <x v="29"/>
    <x v="3"/>
    <n v="4"/>
    <n v="1"/>
    <n v="0"/>
    <n v="0"/>
    <n v="0"/>
  </r>
  <r>
    <x v="16"/>
    <x v="65"/>
    <x v="1"/>
    <n v="0.13636363636363635"/>
    <n v="0"/>
    <n v="0"/>
    <n v="1"/>
    <n v="22"/>
    <n v="0.33333333333333331"/>
    <n v="2010"/>
    <n v="1991"/>
    <x v="2"/>
    <x v="3"/>
    <n v="7"/>
    <n v="3"/>
    <n v="1"/>
    <n v="0"/>
    <n v="0"/>
  </r>
  <r>
    <x v="16"/>
    <x v="113"/>
    <x v="2"/>
    <n v="9.0909090909090912E-2"/>
    <n v="0"/>
    <n v="0"/>
    <n v="0"/>
    <n v="22"/>
    <n v="0"/>
    <n v="2010"/>
    <n v="1996"/>
    <x v="23"/>
    <x v="3"/>
    <n v="60"/>
    <n v="7"/>
    <n v="6"/>
    <n v="3"/>
    <n v="0"/>
  </r>
  <r>
    <x v="16"/>
    <x v="186"/>
    <x v="3"/>
    <n v="4.5454545454545456E-2"/>
    <n v="0"/>
    <n v="0"/>
    <n v="0"/>
    <n v="22"/>
    <n v="0"/>
    <n v="2010"/>
    <n v="1989"/>
    <x v="1"/>
    <x v="3"/>
    <n v="1"/>
    <n v="1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8D6040-F7E2-4933-B938-17BD47AABB12}" name="Pivottabell6" cacheId="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colHeaderCaption="DIV">
  <location ref="V10:AA200" firstHeaderRow="1" firstDataRow="2" firstDataCol="1"/>
  <pivotFields count="18">
    <pivotField showAll="0"/>
    <pivotField axis="axisRow" showAll="0" sortType="descending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f="1" x="188"/>
        <item x="13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5">
        <item x="2"/>
        <item x="1"/>
        <item x="3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189">
    <i>
      <x v="41"/>
    </i>
    <i>
      <x v="93"/>
    </i>
    <i>
      <x v="166"/>
    </i>
    <i>
      <x v="136"/>
    </i>
    <i>
      <x v="12"/>
    </i>
    <i>
      <x v="114"/>
    </i>
    <i>
      <x v="170"/>
    </i>
    <i>
      <x v="38"/>
    </i>
    <i>
      <x v="107"/>
    </i>
    <i>
      <x v="39"/>
    </i>
    <i>
      <x v="152"/>
    </i>
    <i>
      <x v="180"/>
    </i>
    <i>
      <x v="40"/>
    </i>
    <i>
      <x v="155"/>
    </i>
    <i>
      <x v="88"/>
    </i>
    <i>
      <x v="121"/>
    </i>
    <i>
      <x v="109"/>
    </i>
    <i>
      <x v="181"/>
    </i>
    <i>
      <x v="137"/>
    </i>
    <i>
      <x v="129"/>
    </i>
    <i>
      <x v="104"/>
    </i>
    <i>
      <x v="73"/>
    </i>
    <i>
      <x v="98"/>
    </i>
    <i>
      <x v="67"/>
    </i>
    <i>
      <x v="26"/>
    </i>
    <i>
      <x v="3"/>
    </i>
    <i>
      <x v="58"/>
    </i>
    <i>
      <x v="184"/>
    </i>
    <i>
      <x v="5"/>
    </i>
    <i>
      <x v="118"/>
    </i>
    <i>
      <x v="33"/>
    </i>
    <i>
      <x v="154"/>
    </i>
    <i>
      <x v="76"/>
    </i>
    <i>
      <x v="36"/>
    </i>
    <i>
      <x v="37"/>
    </i>
    <i>
      <x v="84"/>
    </i>
    <i>
      <x v="23"/>
    </i>
    <i>
      <x v="75"/>
    </i>
    <i>
      <x v="53"/>
    </i>
    <i>
      <x v="132"/>
    </i>
    <i>
      <x v="172"/>
    </i>
    <i>
      <x v="61"/>
    </i>
    <i>
      <x v="182"/>
    </i>
    <i>
      <x v="64"/>
    </i>
    <i>
      <x v="149"/>
    </i>
    <i>
      <x v="71"/>
    </i>
    <i>
      <x v="130"/>
    </i>
    <i>
      <x v="72"/>
    </i>
    <i>
      <x v="54"/>
    </i>
    <i>
      <x v="82"/>
    </i>
    <i>
      <x v="68"/>
    </i>
    <i>
      <x v="113"/>
    </i>
    <i>
      <x v="45"/>
    </i>
    <i>
      <x v="32"/>
    </i>
    <i>
      <x v="52"/>
    </i>
    <i>
      <x v="28"/>
    </i>
    <i>
      <x v="164"/>
    </i>
    <i>
      <x v="25"/>
    </i>
    <i>
      <x v="124"/>
    </i>
    <i>
      <x v="187"/>
    </i>
    <i>
      <x v="81"/>
    </i>
    <i>
      <x v="169"/>
    </i>
    <i>
      <x v="122"/>
    </i>
    <i>
      <x v="117"/>
    </i>
    <i>
      <x v="108"/>
    </i>
    <i>
      <x/>
    </i>
    <i>
      <x v="55"/>
    </i>
    <i>
      <x v="48"/>
    </i>
    <i>
      <x v="63"/>
    </i>
    <i>
      <x v="24"/>
    </i>
    <i>
      <x v="141"/>
    </i>
    <i>
      <x v="70"/>
    </i>
    <i>
      <x v="168"/>
    </i>
    <i>
      <x v="29"/>
    </i>
    <i>
      <x v="17"/>
    </i>
    <i>
      <x v="78"/>
    </i>
    <i>
      <x v="135"/>
    </i>
    <i>
      <x v="79"/>
    </i>
    <i>
      <x v="150"/>
    </i>
    <i>
      <x v="34"/>
    </i>
    <i>
      <x v="165"/>
    </i>
    <i>
      <x v="91"/>
    </i>
    <i>
      <x v="174"/>
    </i>
    <i>
      <x v="35"/>
    </i>
    <i>
      <x v="116"/>
    </i>
    <i>
      <x v="95"/>
    </i>
    <i>
      <x v="123"/>
    </i>
    <i>
      <x v="97"/>
    </i>
    <i>
      <x v="133"/>
    </i>
    <i>
      <x v="4"/>
    </i>
    <i>
      <x v="139"/>
    </i>
    <i>
      <x v="100"/>
    </i>
    <i>
      <x v="147"/>
    </i>
    <i>
      <x v="102"/>
    </i>
    <i>
      <x v="151"/>
    </i>
    <i>
      <x v="103"/>
    </i>
    <i>
      <x v="162"/>
    </i>
    <i>
      <x v="13"/>
    </i>
    <i>
      <x v="167"/>
    </i>
    <i>
      <x v="112"/>
    </i>
    <i>
      <x v="173"/>
    </i>
    <i>
      <x v="1"/>
    </i>
    <i>
      <x v="177"/>
    </i>
    <i>
      <x v="42"/>
    </i>
    <i>
      <x v="115"/>
    </i>
    <i>
      <x v="47"/>
    </i>
    <i>
      <x v="60"/>
    </i>
    <i>
      <x v="153"/>
    </i>
    <i>
      <x v="145"/>
    </i>
    <i>
      <x v="14"/>
    </i>
    <i>
      <x v="77"/>
    </i>
    <i>
      <x v="15"/>
    </i>
    <i>
      <x v="178"/>
    </i>
    <i>
      <x v="16"/>
    </i>
    <i>
      <x v="19"/>
    </i>
    <i>
      <x v="110"/>
    </i>
    <i>
      <x v="157"/>
    </i>
    <i>
      <x v="111"/>
    </i>
    <i>
      <x v="21"/>
    </i>
    <i>
      <x v="10"/>
    </i>
    <i>
      <x v="80"/>
    </i>
    <i>
      <x v="83"/>
    </i>
    <i>
      <x v="6"/>
    </i>
    <i>
      <x v="11"/>
    </i>
    <i>
      <x v="188"/>
    </i>
    <i>
      <x v="85"/>
    </i>
    <i>
      <x v="96"/>
    </i>
    <i>
      <x v="86"/>
    </i>
    <i>
      <x v="56"/>
    </i>
    <i>
      <x v="43"/>
    </i>
    <i>
      <x v="160"/>
    </i>
    <i>
      <x v="44"/>
    </i>
    <i>
      <x v="57"/>
    </i>
    <i>
      <x v="119"/>
    </i>
    <i>
      <x v="101"/>
    </i>
    <i>
      <x v="120"/>
    </i>
    <i>
      <x v="22"/>
    </i>
    <i>
      <x v="87"/>
    </i>
    <i>
      <x v="176"/>
    </i>
    <i>
      <x v="46"/>
    </i>
    <i>
      <x v="62"/>
    </i>
    <i>
      <x v="27"/>
    </i>
    <i>
      <x v="65"/>
    </i>
    <i>
      <x v="185"/>
    </i>
    <i>
      <x v="146"/>
    </i>
    <i>
      <x v="186"/>
    </i>
    <i>
      <x v="148"/>
    </i>
    <i>
      <x v="126"/>
    </i>
    <i>
      <x v="69"/>
    </i>
    <i>
      <x v="127"/>
    </i>
    <i>
      <x v="20"/>
    </i>
    <i>
      <x v="128"/>
    </i>
    <i>
      <x v="30"/>
    </i>
    <i>
      <x v="89"/>
    </i>
    <i>
      <x v="156"/>
    </i>
    <i>
      <x v="49"/>
    </i>
    <i>
      <x v="158"/>
    </i>
    <i>
      <x v="131"/>
    </i>
    <i>
      <x v="161"/>
    </i>
    <i>
      <x v="50"/>
    </i>
    <i>
      <x v="163"/>
    </i>
    <i>
      <x v="90"/>
    </i>
    <i>
      <x v="99"/>
    </i>
    <i>
      <x v="134"/>
    </i>
    <i>
      <x v="7"/>
    </i>
    <i>
      <x v="9"/>
    </i>
    <i>
      <x v="59"/>
    </i>
    <i>
      <x v="51"/>
    </i>
    <i>
      <x v="171"/>
    </i>
    <i>
      <x v="18"/>
    </i>
    <i>
      <x v="8"/>
    </i>
    <i>
      <x v="138"/>
    </i>
    <i>
      <x v="175"/>
    </i>
    <i>
      <x v="92"/>
    </i>
    <i>
      <x v="31"/>
    </i>
    <i>
      <x v="140"/>
    </i>
    <i>
      <x v="179"/>
    </i>
    <i>
      <x v="74"/>
    </i>
    <i>
      <x v="105"/>
    </i>
    <i>
      <x v="142"/>
    </i>
    <i>
      <x v="183"/>
    </i>
    <i>
      <x v="143"/>
    </i>
    <i>
      <x v="106"/>
    </i>
    <i>
      <x v="144"/>
    </i>
    <i>
      <x v="66"/>
    </i>
    <i>
      <x v="125"/>
    </i>
    <i>
      <x v="2"/>
    </i>
    <i>
      <x v="94"/>
    </i>
    <i t="grand">
      <x/>
    </i>
  </rowItems>
  <colFields count="1">
    <field x="12"/>
  </colFields>
  <colItems count="5">
    <i>
      <x/>
    </i>
    <i>
      <x v="1"/>
    </i>
    <i>
      <x v="2"/>
    </i>
    <i>
      <x v="3"/>
    </i>
    <i t="grand">
      <x/>
    </i>
  </colItems>
  <dataFields count="1">
    <dataField name="Summa av MÅL" fld="6" baseField="0" baseItem="0"/>
  </dataFields>
  <formats count="6">
    <format dxfId="251">
      <pivotArea outline="0" collapsedLevelsAreSubtotals="1" fieldPosition="0"/>
    </format>
    <format dxfId="250">
      <pivotArea field="12" type="button" dataOnly="0" labelOnly="1" outline="0" axis="axisCol" fieldPosition="0"/>
    </format>
    <format dxfId="249">
      <pivotArea type="topRight" dataOnly="0" labelOnly="1" outline="0" fieldPosition="0"/>
    </format>
    <format dxfId="248">
      <pivotArea dataOnly="0" labelOnly="1" fieldPosition="0">
        <references count="1">
          <reference field="12" count="0"/>
        </references>
      </pivotArea>
    </format>
    <format dxfId="247">
      <pivotArea dataOnly="0" labelOnly="1" grandCol="1" outline="0" fieldPosition="0"/>
    </format>
    <format dxfId="246">
      <pivotArea dataOnly="0" labelOnly="1" grandCol="1" outline="0" fieldPosition="0"/>
    </format>
  </formats>
  <conditionalFormats count="7">
    <conditionalFormat priority="15">
      <pivotAreas count="1">
        <pivotArea outline="0" fieldPosition="0">
          <references count="1">
            <reference field="12" count="1">
              <x v="0"/>
            </reference>
          </references>
        </pivotArea>
      </pivotAreas>
    </conditionalFormat>
    <conditionalFormat priority="14">
      <pivotAreas count="1">
        <pivotArea outline="0" fieldPosition="0">
          <references count="1">
            <reference field="12" count="1">
              <x v="1"/>
            </reference>
          </references>
        </pivotArea>
      </pivotAreas>
    </conditionalFormat>
    <conditionalFormat priority="13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1" count="187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  <x v="93"/>
              <x v="94"/>
              <x v="95"/>
              <x v="96"/>
              <x v="97"/>
              <x v="98"/>
              <x v="99"/>
              <x v="100"/>
              <x v="101"/>
              <x v="102"/>
              <x v="103"/>
              <x v="104"/>
              <x v="105"/>
              <x v="106"/>
              <x v="107"/>
              <x v="108"/>
              <x v="109"/>
              <x v="110"/>
              <x v="111"/>
              <x v="112"/>
              <x v="113"/>
              <x v="114"/>
              <x v="115"/>
              <x v="116"/>
              <x v="117"/>
              <x v="118"/>
              <x v="119"/>
              <x v="120"/>
              <x v="121"/>
              <x v="122"/>
              <x v="123"/>
              <x v="124"/>
              <x v="125"/>
              <x v="126"/>
              <x v="127"/>
              <x v="128"/>
              <x v="129"/>
              <x v="130"/>
              <x v="131"/>
              <x v="132"/>
              <x v="133"/>
              <x v="134"/>
              <x v="135"/>
              <x v="136"/>
              <x v="137"/>
              <x v="138"/>
              <x v="139"/>
              <x v="140"/>
              <x v="141"/>
              <x v="142"/>
              <x v="143"/>
              <x v="144"/>
              <x v="145"/>
              <x v="146"/>
              <x v="147"/>
              <x v="148"/>
              <x v="149"/>
              <x v="150"/>
              <x v="151"/>
              <x v="152"/>
              <x v="153"/>
              <x v="154"/>
              <x v="155"/>
              <x v="156"/>
              <x v="157"/>
              <x v="158"/>
              <x v="160"/>
              <x v="161"/>
              <x v="162"/>
              <x v="163"/>
              <x v="164"/>
              <x v="165"/>
              <x v="166"/>
              <x v="167"/>
              <x v="168"/>
              <x v="169"/>
              <x v="170"/>
              <x v="171"/>
              <x v="172"/>
              <x v="173"/>
              <x v="174"/>
              <x v="175"/>
              <x v="176"/>
              <x v="177"/>
              <x v="178"/>
              <x v="179"/>
              <x v="180"/>
              <x v="181"/>
              <x v="182"/>
              <x v="183"/>
              <x v="184"/>
              <x v="185"/>
              <x v="186"/>
              <x v="187"/>
            </reference>
            <reference field="12" count="1" selected="0">
              <x v="0"/>
            </reference>
          </references>
        </pivotArea>
      </pivotAreas>
    </conditionalFormat>
    <conditionalFormat priority="12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1" count="187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  <x v="93"/>
              <x v="94"/>
              <x v="95"/>
              <x v="96"/>
              <x v="97"/>
              <x v="98"/>
              <x v="99"/>
              <x v="100"/>
              <x v="101"/>
              <x v="102"/>
              <x v="103"/>
              <x v="104"/>
              <x v="105"/>
              <x v="106"/>
              <x v="107"/>
              <x v="108"/>
              <x v="109"/>
              <x v="110"/>
              <x v="111"/>
              <x v="112"/>
              <x v="113"/>
              <x v="114"/>
              <x v="115"/>
              <x v="116"/>
              <x v="117"/>
              <x v="118"/>
              <x v="119"/>
              <x v="120"/>
              <x v="121"/>
              <x v="122"/>
              <x v="123"/>
              <x v="124"/>
              <x v="125"/>
              <x v="126"/>
              <x v="127"/>
              <x v="128"/>
              <x v="129"/>
              <x v="130"/>
              <x v="131"/>
              <x v="132"/>
              <x v="133"/>
              <x v="134"/>
              <x v="135"/>
              <x v="136"/>
              <x v="137"/>
              <x v="138"/>
              <x v="139"/>
              <x v="140"/>
              <x v="141"/>
              <x v="142"/>
              <x v="143"/>
              <x v="144"/>
              <x v="145"/>
              <x v="146"/>
              <x v="147"/>
              <x v="148"/>
              <x v="149"/>
              <x v="150"/>
              <x v="151"/>
              <x v="152"/>
              <x v="153"/>
              <x v="154"/>
              <x v="155"/>
              <x v="156"/>
              <x v="157"/>
              <x v="158"/>
              <x v="160"/>
              <x v="161"/>
              <x v="162"/>
              <x v="163"/>
              <x v="164"/>
              <x v="165"/>
              <x v="166"/>
              <x v="167"/>
              <x v="168"/>
              <x v="169"/>
              <x v="170"/>
              <x v="171"/>
              <x v="172"/>
              <x v="173"/>
              <x v="174"/>
              <x v="175"/>
              <x v="176"/>
              <x v="177"/>
              <x v="178"/>
              <x v="179"/>
              <x v="180"/>
              <x v="181"/>
              <x v="182"/>
              <x v="183"/>
              <x v="184"/>
              <x v="185"/>
              <x v="186"/>
              <x v="187"/>
            </reference>
            <reference field="12" count="1" selected="0">
              <x v="1"/>
            </reference>
          </references>
        </pivotArea>
      </pivotAreas>
    </conditionalFormat>
    <conditionalFormat priority="1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1" count="187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  <x v="93"/>
              <x v="94"/>
              <x v="95"/>
              <x v="96"/>
              <x v="97"/>
              <x v="98"/>
              <x v="99"/>
              <x v="100"/>
              <x v="101"/>
              <x v="102"/>
              <x v="103"/>
              <x v="104"/>
              <x v="105"/>
              <x v="106"/>
              <x v="107"/>
              <x v="108"/>
              <x v="109"/>
              <x v="110"/>
              <x v="111"/>
              <x v="112"/>
              <x v="113"/>
              <x v="114"/>
              <x v="115"/>
              <x v="116"/>
              <x v="117"/>
              <x v="118"/>
              <x v="119"/>
              <x v="120"/>
              <x v="121"/>
              <x v="122"/>
              <x v="123"/>
              <x v="124"/>
              <x v="125"/>
              <x v="126"/>
              <x v="127"/>
              <x v="128"/>
              <x v="129"/>
              <x v="130"/>
              <x v="131"/>
              <x v="132"/>
              <x v="133"/>
              <x v="134"/>
              <x v="135"/>
              <x v="136"/>
              <x v="137"/>
              <x v="138"/>
              <x v="139"/>
              <x v="140"/>
              <x v="141"/>
              <x v="142"/>
              <x v="143"/>
              <x v="144"/>
              <x v="145"/>
              <x v="146"/>
              <x v="147"/>
              <x v="148"/>
              <x v="149"/>
              <x v="150"/>
              <x v="151"/>
              <x v="152"/>
              <x v="153"/>
              <x v="154"/>
              <x v="155"/>
              <x v="156"/>
              <x v="157"/>
              <x v="158"/>
              <x v="160"/>
              <x v="161"/>
              <x v="162"/>
              <x v="163"/>
              <x v="164"/>
              <x v="165"/>
              <x v="166"/>
              <x v="167"/>
              <x v="168"/>
              <x v="169"/>
              <x v="170"/>
              <x v="171"/>
              <x v="172"/>
              <x v="173"/>
              <x v="174"/>
              <x v="175"/>
              <x v="176"/>
              <x v="177"/>
              <x v="178"/>
              <x v="179"/>
              <x v="180"/>
              <x v="181"/>
              <x v="182"/>
              <x v="183"/>
              <x v="184"/>
              <x v="185"/>
              <x v="186"/>
              <x v="187"/>
            </reference>
            <reference field="12" count="1" selected="0">
              <x v="2"/>
            </reference>
          </references>
        </pivotArea>
      </pivotAreas>
    </conditionalFormat>
    <conditionalFormat priority="10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1" count="187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  <x v="93"/>
              <x v="94"/>
              <x v="95"/>
              <x v="96"/>
              <x v="97"/>
              <x v="98"/>
              <x v="99"/>
              <x v="100"/>
              <x v="101"/>
              <x v="102"/>
              <x v="103"/>
              <x v="104"/>
              <x v="105"/>
              <x v="106"/>
              <x v="107"/>
              <x v="108"/>
              <x v="109"/>
              <x v="110"/>
              <x v="111"/>
              <x v="112"/>
              <x v="113"/>
              <x v="114"/>
              <x v="115"/>
              <x v="116"/>
              <x v="117"/>
              <x v="118"/>
              <x v="119"/>
              <x v="120"/>
              <x v="121"/>
              <x v="122"/>
              <x v="123"/>
              <x v="124"/>
              <x v="125"/>
              <x v="126"/>
              <x v="127"/>
              <x v="128"/>
              <x v="129"/>
              <x v="130"/>
              <x v="131"/>
              <x v="132"/>
              <x v="133"/>
              <x v="134"/>
              <x v="135"/>
              <x v="136"/>
              <x v="137"/>
              <x v="138"/>
              <x v="139"/>
              <x v="140"/>
              <x v="141"/>
              <x v="142"/>
              <x v="143"/>
              <x v="144"/>
              <x v="145"/>
              <x v="146"/>
              <x v="147"/>
              <x v="148"/>
              <x v="149"/>
              <x v="150"/>
              <x v="151"/>
              <x v="152"/>
              <x v="153"/>
              <x v="154"/>
              <x v="155"/>
              <x v="156"/>
              <x v="157"/>
              <x v="158"/>
              <x v="160"/>
              <x v="161"/>
              <x v="162"/>
              <x v="163"/>
              <x v="164"/>
              <x v="165"/>
              <x v="166"/>
              <x v="167"/>
              <x v="168"/>
              <x v="169"/>
              <x v="170"/>
              <x v="171"/>
              <x v="172"/>
              <x v="173"/>
              <x v="174"/>
              <x v="175"/>
              <x v="176"/>
              <x v="177"/>
              <x v="178"/>
              <x v="179"/>
              <x v="180"/>
              <x v="181"/>
              <x v="182"/>
              <x v="183"/>
              <x v="184"/>
              <x v="185"/>
              <x v="186"/>
              <x v="187"/>
            </reference>
            <reference field="12" count="1" selected="0">
              <x v="3"/>
            </reference>
          </references>
        </pivotArea>
      </pivotAreas>
    </conditionalFormat>
    <conditionalFormat priority="9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1" count="187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  <x v="93"/>
              <x v="94"/>
              <x v="95"/>
              <x v="96"/>
              <x v="97"/>
              <x v="98"/>
              <x v="99"/>
              <x v="100"/>
              <x v="101"/>
              <x v="102"/>
              <x v="103"/>
              <x v="104"/>
              <x v="105"/>
              <x v="106"/>
              <x v="107"/>
              <x v="108"/>
              <x v="109"/>
              <x v="110"/>
              <x v="111"/>
              <x v="112"/>
              <x v="113"/>
              <x v="114"/>
              <x v="115"/>
              <x v="116"/>
              <x v="117"/>
              <x v="118"/>
              <x v="119"/>
              <x v="120"/>
              <x v="121"/>
              <x v="122"/>
              <x v="123"/>
              <x v="124"/>
              <x v="125"/>
              <x v="126"/>
              <x v="127"/>
              <x v="128"/>
              <x v="129"/>
              <x v="130"/>
              <x v="131"/>
              <x v="132"/>
              <x v="133"/>
              <x v="134"/>
              <x v="135"/>
              <x v="136"/>
              <x v="137"/>
              <x v="138"/>
              <x v="139"/>
              <x v="140"/>
              <x v="141"/>
              <x v="142"/>
              <x v="143"/>
              <x v="144"/>
              <x v="145"/>
              <x v="146"/>
              <x v="147"/>
              <x v="148"/>
              <x v="149"/>
              <x v="150"/>
              <x v="151"/>
              <x v="152"/>
              <x v="153"/>
              <x v="154"/>
              <x v="155"/>
              <x v="156"/>
              <x v="157"/>
              <x v="158"/>
              <x v="160"/>
              <x v="161"/>
              <x v="162"/>
              <x v="163"/>
              <x v="164"/>
              <x v="165"/>
              <x v="166"/>
              <x v="167"/>
              <x v="168"/>
              <x v="169"/>
              <x v="170"/>
              <x v="171"/>
              <x v="172"/>
              <x v="173"/>
              <x v="174"/>
              <x v="175"/>
              <x v="176"/>
              <x v="177"/>
              <x v="178"/>
              <x v="179"/>
              <x v="180"/>
              <x v="181"/>
              <x v="182"/>
              <x v="183"/>
              <x v="184"/>
              <x v="185"/>
              <x v="186"/>
              <x v="187"/>
            </reference>
          </references>
        </pivotArea>
      </pivotAreas>
    </conditionalFormat>
  </conditional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C442F2-1935-4A31-A865-6076FFB8FD31}" name="Pivottabell2" cacheId="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colHeaderCaption=".">
  <location ref="AW10:CC200" firstHeaderRow="1" firstDataRow="2" firstDataCol="1"/>
  <pivotFields count="18">
    <pivotField showAll="0"/>
    <pivotField axis="axisRow" showAll="0" sortType="descending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f="1" x="18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3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9" showAll="0"/>
    <pivotField showAll="0"/>
    <pivotField showAll="0"/>
    <pivotField dataField="1" showAll="0"/>
    <pivotField showAll="0"/>
    <pivotField showAll="0"/>
    <pivotField showAll="0"/>
    <pivotField showAll="0"/>
    <pivotField axis="axisCol" showAll="0">
      <items count="32">
        <item x="27"/>
        <item x="23"/>
        <item x="9"/>
        <item x="11"/>
        <item x="3"/>
        <item x="8"/>
        <item x="2"/>
        <item x="10"/>
        <item x="1"/>
        <item x="12"/>
        <item x="5"/>
        <item x="4"/>
        <item x="18"/>
        <item x="13"/>
        <item x="7"/>
        <item x="22"/>
        <item x="20"/>
        <item x="19"/>
        <item x="17"/>
        <item x="15"/>
        <item x="16"/>
        <item x="14"/>
        <item x="0"/>
        <item x="21"/>
        <item x="30"/>
        <item x="6"/>
        <item x="28"/>
        <item x="26"/>
        <item x="25"/>
        <item x="24"/>
        <item x="29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"/>
  </rowFields>
  <rowItems count="189">
    <i>
      <x v="41"/>
    </i>
    <i>
      <x v="94"/>
    </i>
    <i>
      <x v="168"/>
    </i>
    <i>
      <x v="138"/>
    </i>
    <i>
      <x v="12"/>
    </i>
    <i>
      <x v="116"/>
    </i>
    <i>
      <x v="172"/>
    </i>
    <i>
      <x v="38"/>
    </i>
    <i>
      <x v="109"/>
    </i>
    <i>
      <x v="39"/>
    </i>
    <i>
      <x v="154"/>
    </i>
    <i>
      <x v="182"/>
    </i>
    <i>
      <x v="40"/>
    </i>
    <i>
      <x v="157"/>
    </i>
    <i>
      <x v="89"/>
    </i>
    <i>
      <x v="123"/>
    </i>
    <i>
      <x v="111"/>
    </i>
    <i>
      <x v="183"/>
    </i>
    <i>
      <x v="139"/>
    </i>
    <i>
      <x v="131"/>
    </i>
    <i>
      <x v="106"/>
    </i>
    <i>
      <x v="74"/>
    </i>
    <i>
      <x v="68"/>
    </i>
    <i>
      <x v="99"/>
    </i>
    <i>
      <x v="26"/>
    </i>
    <i>
      <x v="58"/>
    </i>
    <i>
      <x v="186"/>
    </i>
    <i>
      <x v="3"/>
    </i>
    <i>
      <x v="5"/>
    </i>
    <i>
      <x v="120"/>
    </i>
    <i>
      <x v="36"/>
    </i>
    <i>
      <x v="156"/>
    </i>
    <i>
      <x v="37"/>
    </i>
    <i>
      <x v="33"/>
    </i>
    <i>
      <x v="77"/>
    </i>
    <i>
      <x v="85"/>
    </i>
    <i>
      <x v="53"/>
    </i>
    <i>
      <x v="76"/>
    </i>
    <i>
      <x v="23"/>
    </i>
    <i>
      <x v="134"/>
    </i>
    <i>
      <x v="184"/>
    </i>
    <i>
      <x v="151"/>
    </i>
    <i>
      <x v="64"/>
    </i>
    <i>
      <x v="72"/>
    </i>
    <i>
      <x v="174"/>
    </i>
    <i>
      <x v="73"/>
    </i>
    <i>
      <x v="132"/>
    </i>
    <i>
      <x v="61"/>
    </i>
    <i>
      <x v="45"/>
    </i>
    <i>
      <x v="25"/>
    </i>
    <i>
      <x v="54"/>
    </i>
    <i>
      <x v="32"/>
    </i>
    <i>
      <x v="166"/>
    </i>
    <i>
      <x v="69"/>
    </i>
    <i>
      <x v="52"/>
    </i>
    <i>
      <x v="115"/>
    </i>
    <i>
      <x v="28"/>
    </i>
    <i>
      <x v="83"/>
    </i>
    <i>
      <x v="82"/>
    </i>
    <i>
      <x v="100"/>
    </i>
    <i>
      <x v="110"/>
    </i>
    <i>
      <x v="171"/>
    </i>
    <i>
      <x v="126"/>
    </i>
    <i>
      <x v="119"/>
    </i>
    <i>
      <x v="124"/>
    </i>
    <i>
      <x/>
    </i>
    <i>
      <x v="55"/>
    </i>
    <i>
      <x v="135"/>
    </i>
    <i>
      <x v="63"/>
    </i>
    <i>
      <x v="4"/>
    </i>
    <i>
      <x v="143"/>
    </i>
    <i>
      <x v="24"/>
    </i>
    <i>
      <x v="170"/>
    </i>
    <i>
      <x v="71"/>
    </i>
    <i>
      <x v="125"/>
    </i>
    <i>
      <x v="29"/>
    </i>
    <i>
      <x v="17"/>
    </i>
    <i>
      <x v="79"/>
    </i>
    <i>
      <x v="152"/>
    </i>
    <i>
      <x v="80"/>
    </i>
    <i>
      <x v="167"/>
    </i>
    <i>
      <x v="92"/>
    </i>
    <i>
      <x v="176"/>
    </i>
    <i>
      <x v="34"/>
    </i>
    <i>
      <x v="118"/>
    </i>
    <i>
      <x v="96"/>
    </i>
    <i>
      <x v="48"/>
    </i>
    <i>
      <x v="98"/>
    </i>
    <i>
      <x v="137"/>
    </i>
    <i>
      <x v="35"/>
    </i>
    <i>
      <x v="141"/>
    </i>
    <i>
      <x v="102"/>
    </i>
    <i>
      <x v="149"/>
    </i>
    <i>
      <x v="104"/>
    </i>
    <i>
      <x v="153"/>
    </i>
    <i>
      <x v="105"/>
    </i>
    <i>
      <x v="164"/>
    </i>
    <i>
      <x v="1"/>
    </i>
    <i>
      <x v="169"/>
    </i>
    <i>
      <x v="13"/>
    </i>
    <i>
      <x v="175"/>
    </i>
    <i>
      <x v="114"/>
    </i>
    <i>
      <x v="179"/>
    </i>
    <i>
      <x v="42"/>
    </i>
    <i>
      <x v="117"/>
    </i>
    <i>
      <x v="47"/>
    </i>
    <i>
      <x v="101"/>
    </i>
    <i>
      <x v="75"/>
    </i>
    <i>
      <x v="65"/>
    </i>
    <i>
      <x v="107"/>
    </i>
    <i>
      <x v="162"/>
    </i>
    <i>
      <x v="108"/>
    </i>
    <i>
      <x v="178"/>
    </i>
    <i>
      <x v="81"/>
    </i>
    <i>
      <x v="27"/>
    </i>
    <i>
      <x v="30"/>
    </i>
    <i>
      <x v="56"/>
    </i>
    <i>
      <x v="14"/>
    </i>
    <i>
      <x v="57"/>
    </i>
    <i>
      <x v="112"/>
    </i>
    <i>
      <x v="21"/>
    </i>
    <i>
      <x v="113"/>
    </i>
    <i>
      <x v="62"/>
    </i>
    <i>
      <x v="31"/>
    </i>
    <i>
      <x v="147"/>
    </i>
    <i>
      <x v="15"/>
    </i>
    <i>
      <x v="18"/>
    </i>
    <i>
      <x v="84"/>
    </i>
    <i>
      <x v="155"/>
    </i>
    <i>
      <x v="8"/>
    </i>
    <i>
      <x v="159"/>
    </i>
    <i>
      <x v="86"/>
    </i>
    <i>
      <x v="7"/>
    </i>
    <i>
      <x v="43"/>
    </i>
    <i>
      <x v="20"/>
    </i>
    <i>
      <x v="44"/>
    </i>
    <i>
      <x v="60"/>
    </i>
    <i>
      <x v="121"/>
    </i>
    <i>
      <x v="103"/>
    </i>
    <i>
      <x v="122"/>
    </i>
    <i>
      <x v="180"/>
    </i>
    <i>
      <x v="16"/>
    </i>
    <i>
      <x v="22"/>
    </i>
    <i>
      <x v="46"/>
    </i>
    <i>
      <x v="11"/>
    </i>
    <i>
      <x v="87"/>
    </i>
    <i>
      <x v="148"/>
    </i>
    <i>
      <x v="66"/>
    </i>
    <i>
      <x v="150"/>
    </i>
    <i>
      <x v="127"/>
    </i>
    <i>
      <x v="95"/>
    </i>
    <i>
      <x v="128"/>
    </i>
    <i>
      <x v="19"/>
    </i>
    <i>
      <x v="129"/>
    </i>
    <i>
      <x v="97"/>
    </i>
    <i>
      <x v="130"/>
    </i>
    <i>
      <x v="158"/>
    </i>
    <i>
      <x v="88"/>
    </i>
    <i>
      <x v="160"/>
    </i>
    <i>
      <x v="49"/>
    </i>
    <i>
      <x v="163"/>
    </i>
    <i>
      <x v="133"/>
    </i>
    <i>
      <x v="165"/>
    </i>
    <i>
      <x v="50"/>
    </i>
    <i>
      <x v="70"/>
    </i>
    <i>
      <x v="9"/>
    </i>
    <i>
      <x v="10"/>
    </i>
    <i>
      <x v="136"/>
    </i>
    <i>
      <x v="59"/>
    </i>
    <i>
      <x v="90"/>
    </i>
    <i>
      <x v="173"/>
    </i>
    <i>
      <x v="51"/>
    </i>
    <i>
      <x v="78"/>
    </i>
    <i>
      <x v="91"/>
    </i>
    <i>
      <x v="177"/>
    </i>
    <i>
      <x v="140"/>
    </i>
    <i>
      <x v="67"/>
    </i>
    <i>
      <x v="6"/>
    </i>
    <i>
      <x v="181"/>
    </i>
    <i>
      <x v="142"/>
    </i>
    <i>
      <x v="2"/>
    </i>
    <i>
      <x v="188"/>
    </i>
    <i>
      <x v="185"/>
    </i>
    <i>
      <x v="144"/>
    </i>
    <i>
      <x v="187"/>
    </i>
    <i>
      <x v="145"/>
    </i>
    <i>
      <x v="146"/>
    </i>
    <i>
      <x v="93"/>
    </i>
    <i t="grand">
      <x/>
    </i>
  </rowItems>
  <colFields count="1">
    <field x="11"/>
  </colFields>
  <col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colItems>
  <dataFields count="1">
    <dataField name="ÅLDER MÅL" fld="6" baseField="0" baseItem="0"/>
  </dataFields>
  <conditionalFormats count="1">
    <conditionalFormat priority="1">
      <pivotAreas count="1">
        <pivotArea outline="0" fieldPosition="0">
          <references count="1">
            <reference field="11" count="0"/>
          </references>
        </pivotArea>
      </pivotAreas>
    </conditionalFormat>
  </conditional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BE2315-004B-46CC-A92D-FE2D45416004}" name="Pivottabell1" cacheId="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colHeaderCaption=".">
  <location ref="AC10:AU200" firstHeaderRow="1" firstDataRow="2" firstDataCol="1"/>
  <pivotFields count="18">
    <pivotField axis="axisCol" showAll="0">
      <items count="18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 sortType="descending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f="1" x="18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3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9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89">
    <i>
      <x v="41"/>
    </i>
    <i>
      <x v="94"/>
    </i>
    <i>
      <x v="168"/>
    </i>
    <i>
      <x v="138"/>
    </i>
    <i>
      <x v="12"/>
    </i>
    <i>
      <x v="116"/>
    </i>
    <i>
      <x v="172"/>
    </i>
    <i>
      <x v="38"/>
    </i>
    <i>
      <x v="109"/>
    </i>
    <i>
      <x v="39"/>
    </i>
    <i>
      <x v="154"/>
    </i>
    <i>
      <x v="182"/>
    </i>
    <i>
      <x v="40"/>
    </i>
    <i>
      <x v="157"/>
    </i>
    <i>
      <x v="89"/>
    </i>
    <i>
      <x v="123"/>
    </i>
    <i>
      <x v="111"/>
    </i>
    <i>
      <x v="183"/>
    </i>
    <i>
      <x v="139"/>
    </i>
    <i>
      <x v="131"/>
    </i>
    <i>
      <x v="106"/>
    </i>
    <i>
      <x v="74"/>
    </i>
    <i>
      <x v="68"/>
    </i>
    <i>
      <x v="99"/>
    </i>
    <i>
      <x v="26"/>
    </i>
    <i>
      <x v="58"/>
    </i>
    <i>
      <x v="186"/>
    </i>
    <i>
      <x v="3"/>
    </i>
    <i>
      <x v="5"/>
    </i>
    <i>
      <x v="120"/>
    </i>
    <i>
      <x v="36"/>
    </i>
    <i>
      <x v="156"/>
    </i>
    <i>
      <x v="37"/>
    </i>
    <i>
      <x v="33"/>
    </i>
    <i>
      <x v="77"/>
    </i>
    <i>
      <x v="85"/>
    </i>
    <i>
      <x v="53"/>
    </i>
    <i>
      <x v="76"/>
    </i>
    <i>
      <x v="23"/>
    </i>
    <i>
      <x v="134"/>
    </i>
    <i>
      <x v="184"/>
    </i>
    <i>
      <x v="151"/>
    </i>
    <i>
      <x v="64"/>
    </i>
    <i>
      <x v="72"/>
    </i>
    <i>
      <x v="174"/>
    </i>
    <i>
      <x v="73"/>
    </i>
    <i>
      <x v="132"/>
    </i>
    <i>
      <x v="61"/>
    </i>
    <i>
      <x v="45"/>
    </i>
    <i>
      <x v="25"/>
    </i>
    <i>
      <x v="54"/>
    </i>
    <i>
      <x v="32"/>
    </i>
    <i>
      <x v="166"/>
    </i>
    <i>
      <x v="69"/>
    </i>
    <i>
      <x v="52"/>
    </i>
    <i>
      <x v="115"/>
    </i>
    <i>
      <x v="28"/>
    </i>
    <i>
      <x v="83"/>
    </i>
    <i>
      <x v="82"/>
    </i>
    <i>
      <x v="100"/>
    </i>
    <i>
      <x v="110"/>
    </i>
    <i>
      <x v="171"/>
    </i>
    <i>
      <x v="126"/>
    </i>
    <i>
      <x v="119"/>
    </i>
    <i>
      <x v="124"/>
    </i>
    <i>
      <x/>
    </i>
    <i>
      <x v="55"/>
    </i>
    <i>
      <x v="135"/>
    </i>
    <i>
      <x v="63"/>
    </i>
    <i>
      <x v="4"/>
    </i>
    <i>
      <x v="143"/>
    </i>
    <i>
      <x v="24"/>
    </i>
    <i>
      <x v="170"/>
    </i>
    <i>
      <x v="71"/>
    </i>
    <i>
      <x v="125"/>
    </i>
    <i>
      <x v="29"/>
    </i>
    <i>
      <x v="17"/>
    </i>
    <i>
      <x v="79"/>
    </i>
    <i>
      <x v="152"/>
    </i>
    <i>
      <x v="80"/>
    </i>
    <i>
      <x v="167"/>
    </i>
    <i>
      <x v="92"/>
    </i>
    <i>
      <x v="176"/>
    </i>
    <i>
      <x v="34"/>
    </i>
    <i>
      <x v="118"/>
    </i>
    <i>
      <x v="96"/>
    </i>
    <i>
      <x v="48"/>
    </i>
    <i>
      <x v="98"/>
    </i>
    <i>
      <x v="137"/>
    </i>
    <i>
      <x v="35"/>
    </i>
    <i>
      <x v="141"/>
    </i>
    <i>
      <x v="102"/>
    </i>
    <i>
      <x v="149"/>
    </i>
    <i>
      <x v="104"/>
    </i>
    <i>
      <x v="153"/>
    </i>
    <i>
      <x v="105"/>
    </i>
    <i>
      <x v="164"/>
    </i>
    <i>
      <x v="1"/>
    </i>
    <i>
      <x v="169"/>
    </i>
    <i>
      <x v="13"/>
    </i>
    <i>
      <x v="175"/>
    </i>
    <i>
      <x v="114"/>
    </i>
    <i>
      <x v="179"/>
    </i>
    <i>
      <x v="42"/>
    </i>
    <i>
      <x v="117"/>
    </i>
    <i>
      <x v="47"/>
    </i>
    <i>
      <x v="101"/>
    </i>
    <i>
      <x v="75"/>
    </i>
    <i>
      <x v="65"/>
    </i>
    <i>
      <x v="107"/>
    </i>
    <i>
      <x v="162"/>
    </i>
    <i>
      <x v="108"/>
    </i>
    <i>
      <x v="178"/>
    </i>
    <i>
      <x v="81"/>
    </i>
    <i>
      <x v="27"/>
    </i>
    <i>
      <x v="30"/>
    </i>
    <i>
      <x v="56"/>
    </i>
    <i>
      <x v="14"/>
    </i>
    <i>
      <x v="57"/>
    </i>
    <i>
      <x v="112"/>
    </i>
    <i>
      <x v="21"/>
    </i>
    <i>
      <x v="113"/>
    </i>
    <i>
      <x v="62"/>
    </i>
    <i>
      <x v="31"/>
    </i>
    <i>
      <x v="147"/>
    </i>
    <i>
      <x v="15"/>
    </i>
    <i>
      <x v="18"/>
    </i>
    <i>
      <x v="84"/>
    </i>
    <i>
      <x v="155"/>
    </i>
    <i>
      <x v="8"/>
    </i>
    <i>
      <x v="159"/>
    </i>
    <i>
      <x v="86"/>
    </i>
    <i>
      <x v="7"/>
    </i>
    <i>
      <x v="43"/>
    </i>
    <i>
      <x v="20"/>
    </i>
    <i>
      <x v="44"/>
    </i>
    <i>
      <x v="60"/>
    </i>
    <i>
      <x v="121"/>
    </i>
    <i>
      <x v="103"/>
    </i>
    <i>
      <x v="122"/>
    </i>
    <i>
      <x v="180"/>
    </i>
    <i>
      <x v="16"/>
    </i>
    <i>
      <x v="22"/>
    </i>
    <i>
      <x v="46"/>
    </i>
    <i>
      <x v="11"/>
    </i>
    <i>
      <x v="87"/>
    </i>
    <i>
      <x v="148"/>
    </i>
    <i>
      <x v="66"/>
    </i>
    <i>
      <x v="150"/>
    </i>
    <i>
      <x v="127"/>
    </i>
    <i>
      <x v="95"/>
    </i>
    <i>
      <x v="128"/>
    </i>
    <i>
      <x v="19"/>
    </i>
    <i>
      <x v="129"/>
    </i>
    <i>
      <x v="97"/>
    </i>
    <i>
      <x v="130"/>
    </i>
    <i>
      <x v="158"/>
    </i>
    <i>
      <x v="88"/>
    </i>
    <i>
      <x v="160"/>
    </i>
    <i>
      <x v="49"/>
    </i>
    <i>
      <x v="163"/>
    </i>
    <i>
      <x v="133"/>
    </i>
    <i>
      <x v="165"/>
    </i>
    <i>
      <x v="50"/>
    </i>
    <i>
      <x v="70"/>
    </i>
    <i>
      <x v="9"/>
    </i>
    <i>
      <x v="10"/>
    </i>
    <i>
      <x v="136"/>
    </i>
    <i>
      <x v="59"/>
    </i>
    <i>
      <x v="90"/>
    </i>
    <i>
      <x v="173"/>
    </i>
    <i>
      <x v="51"/>
    </i>
    <i>
      <x v="78"/>
    </i>
    <i>
      <x v="91"/>
    </i>
    <i>
      <x v="177"/>
    </i>
    <i>
      <x v="140"/>
    </i>
    <i>
      <x v="67"/>
    </i>
    <i>
      <x v="6"/>
    </i>
    <i>
      <x v="181"/>
    </i>
    <i>
      <x v="142"/>
    </i>
    <i>
      <x v="2"/>
    </i>
    <i>
      <x v="188"/>
    </i>
    <i>
      <x v="185"/>
    </i>
    <i>
      <x v="144"/>
    </i>
    <i>
      <x v="187"/>
    </i>
    <i>
      <x v="145"/>
    </i>
    <i>
      <x v="146"/>
    </i>
    <i>
      <x v="93"/>
    </i>
    <i t="grand">
      <x/>
    </i>
  </rowItems>
  <colFields count="1">
    <field x="0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MÅL PER ÅR" fld="6" baseField="0" baseItem="0"/>
  </dataFields>
  <formats count="5">
    <format dxfId="256">
      <pivotArea dataOnly="0" labelOnly="1" fieldPosition="0">
        <references count="1">
          <reference field="0" count="0"/>
        </references>
      </pivotArea>
    </format>
    <format dxfId="255">
      <pivotArea outline="0" collapsedLevelsAreSubtotals="1" fieldPosition="0">
        <references count="1">
          <reference field="0" count="0" selected="0"/>
        </references>
      </pivotArea>
    </format>
    <format dxfId="254">
      <pivotArea field="0" type="button" dataOnly="0" labelOnly="1" outline="0" axis="axisCol" fieldPosition="0"/>
    </format>
    <format dxfId="253">
      <pivotArea type="topRight" dataOnly="0" labelOnly="1" outline="0" fieldPosition="0"/>
    </format>
    <format dxfId="252">
      <pivotArea dataOnly="0" labelOnly="1" fieldPosition="0">
        <references count="1">
          <reference field="0" count="0"/>
        </references>
      </pivotArea>
    </format>
  </formats>
  <conditionalFormats count="2">
    <conditionalFormat priority="3">
      <pivotAreas count="1">
        <pivotArea outline="0" fieldPosition="0">
          <references count="1">
            <reference field="0" count="0"/>
          </references>
        </pivotArea>
      </pivotAreas>
    </conditionalFormat>
    <conditionalFormat priority="2">
      <pivotAreas count="1">
        <pivotArea outline="0" fieldPosition="0">
          <references count="1">
            <reference field="0" count="0"/>
          </references>
        </pivotArea>
      </pivotAreas>
    </conditionalFormat>
  </conditional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2C8626-77FE-4137-B1E0-8D0C30985261}" name="Pivottabell1" cacheId="8" applyNumberFormats="0" applyBorderFormats="0" applyFontFormats="0" applyPatternFormats="0" applyAlignmentFormats="0" applyWidthHeightFormats="1" dataCaption="Värden" updatedVersion="8" minRefreshableVersion="3" itemPrintTitles="1" createdVersion="8" indent="0" outline="1" outlineData="1" multipleFieldFilters="0" rowHeaderCaption="ÅLDER" colHeaderCaption="ANTAL SPELARE">
  <location ref="A2:AF35" firstHeaderRow="1" firstDataRow="2" firstDataCol="1"/>
  <pivotFields count="18">
    <pivotField showAll="0"/>
    <pivotField dataField="1" showAll="0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7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f="1" x="18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3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t="default"/>
      </items>
    </pivotField>
    <pivotField axis="axisCol" showAll="0">
      <items count="31">
        <item x="4"/>
        <item x="3"/>
        <item x="2"/>
        <item x="1"/>
        <item x="0"/>
        <item x="18"/>
        <item x="17"/>
        <item x="26"/>
        <item x="16"/>
        <item x="25"/>
        <item x="15"/>
        <item x="14"/>
        <item x="24"/>
        <item x="23"/>
        <item x="22"/>
        <item x="29"/>
        <item x="21"/>
        <item x="28"/>
        <item x="13"/>
        <item x="20"/>
        <item x="12"/>
        <item x="11"/>
        <item x="19"/>
        <item x="27"/>
        <item x="10"/>
        <item x="9"/>
        <item x="8"/>
        <item x="7"/>
        <item x="6"/>
        <item x="5"/>
        <item t="default"/>
      </items>
    </pivotField>
    <pivotField numFmtId="9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2">
        <item x="27"/>
        <item x="23"/>
        <item x="9"/>
        <item x="11"/>
        <item x="3"/>
        <item x="8"/>
        <item x="2"/>
        <item x="10"/>
        <item x="1"/>
        <item x="12"/>
        <item x="5"/>
        <item x="4"/>
        <item x="18"/>
        <item x="13"/>
        <item x="7"/>
        <item x="22"/>
        <item x="20"/>
        <item x="19"/>
        <item x="17"/>
        <item x="15"/>
        <item x="16"/>
        <item x="14"/>
        <item x="0"/>
        <item x="21"/>
        <item x="30"/>
        <item x="6"/>
        <item x="28"/>
        <item x="26"/>
        <item x="25"/>
        <item x="24"/>
        <item x="29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Antal av Namn" fld="1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1F7D58-8BA6-4616-80FB-9DD9B465B961}" name="Pivottabell3" cacheId="8" applyNumberFormats="0" applyBorderFormats="0" applyFontFormats="0" applyPatternFormats="0" applyAlignmentFormats="0" applyWidthHeightFormats="1" dataCaption="Värden" updatedVersion="8" minRefreshableVersion="3" itemPrintTitles="1" createdVersion="8" indent="0" outline="1" outlineData="1" multipleFieldFilters="0" rowHeaderCaption="ÅLDER" colHeaderCaption="ANTAL MÅL PER ÅLDER">
  <location ref="BB2:BT35" firstHeaderRow="1" firstDataRow="2" firstDataCol="1"/>
  <pivotFields count="18">
    <pivotField axis="axisCol" showAll="0">
      <items count="18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7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f="1" x="18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3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t="default"/>
      </items>
    </pivotField>
    <pivotField showAll="0"/>
    <pivotField numFmtId="9"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32">
        <item x="27"/>
        <item x="23"/>
        <item x="9"/>
        <item x="11"/>
        <item x="3"/>
        <item x="8"/>
        <item x="2"/>
        <item x="10"/>
        <item x="1"/>
        <item x="12"/>
        <item x="5"/>
        <item x="4"/>
        <item x="18"/>
        <item x="13"/>
        <item x="7"/>
        <item x="22"/>
        <item x="20"/>
        <item x="19"/>
        <item x="17"/>
        <item x="15"/>
        <item x="16"/>
        <item x="14"/>
        <item x="0"/>
        <item x="21"/>
        <item x="30"/>
        <item x="6"/>
        <item x="28"/>
        <item x="26"/>
        <item x="25"/>
        <item x="24"/>
        <item x="29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0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Summa av MÅL" fld="6" baseField="0" baseItem="0"/>
  </dataFields>
  <formats count="5">
    <format dxfId="113">
      <pivotArea dataOnly="0" labelOnly="1" fieldPosition="0">
        <references count="1">
          <reference field="0" count="0"/>
        </references>
      </pivotArea>
    </format>
    <format dxfId="112">
      <pivotArea outline="0" collapsedLevelsAreSubtotals="1" fieldPosition="0">
        <references count="1">
          <reference field="0" count="0" selected="0"/>
        </references>
      </pivotArea>
    </format>
    <format dxfId="111">
      <pivotArea field="0" type="button" dataOnly="0" labelOnly="1" outline="0" axis="axisCol" fieldPosition="0"/>
    </format>
    <format dxfId="110">
      <pivotArea type="topRight" dataOnly="0" labelOnly="1" outline="0" fieldPosition="0"/>
    </format>
    <format dxfId="109">
      <pivotArea dataOnly="0" labelOnly="1" fieldPosition="0">
        <references count="1">
          <reference field="0" count="0"/>
        </references>
      </pivotArea>
    </format>
  </formats>
  <conditionalFormats count="17">
    <conditionalFormat priority="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6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5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4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4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3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5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2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6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1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7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0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8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9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8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0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7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6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2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5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3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4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4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3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5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2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6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  <conditionalFormat priority="17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0"/>
            </reference>
            <reference field="11" count="3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</reference>
          </references>
        </pivotArea>
      </pivotAreas>
    </conditionalFormat>
  </conditional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9F1A42-211F-48B6-A29B-6B101603EE8F}" name="Pivottabell2" cacheId="8" applyNumberFormats="0" applyBorderFormats="0" applyFontFormats="0" applyPatternFormats="0" applyAlignmentFormats="0" applyWidthHeightFormats="1" dataCaption="Värden" updatedVersion="8" minRefreshableVersion="3" itemPrintTitles="1" createdVersion="8" indent="0" outline="1" outlineData="1" multipleFieldFilters="0" rowHeaderCaption="ÅLDER" colHeaderCaption="ANTAL PER SÄSONG">
  <location ref="AH2:AZ35" firstHeaderRow="1" firstDataRow="2" firstDataCol="1"/>
  <pivotFields count="18">
    <pivotField axis="axisCol" showAll="0">
      <items count="18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showAll="0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7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f="1" x="18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3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t="default"/>
      </items>
    </pivotField>
    <pivotField showAll="0"/>
    <pivotField numFmtId="9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2">
        <item x="27"/>
        <item x="23"/>
        <item x="9"/>
        <item x="11"/>
        <item x="3"/>
        <item x="8"/>
        <item x="2"/>
        <item x="10"/>
        <item x="1"/>
        <item x="12"/>
        <item x="5"/>
        <item x="4"/>
        <item x="18"/>
        <item x="13"/>
        <item x="7"/>
        <item x="22"/>
        <item x="20"/>
        <item x="19"/>
        <item x="17"/>
        <item x="15"/>
        <item x="16"/>
        <item x="14"/>
        <item x="0"/>
        <item x="21"/>
        <item x="30"/>
        <item x="6"/>
        <item x="28"/>
        <item x="26"/>
        <item x="25"/>
        <item x="24"/>
        <item x="29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0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Antal av Namn" fld="1" subtotal="count" baseField="0" baseItem="0"/>
  </dataFields>
  <formats count="1">
    <format dxfId="114">
      <pivotArea dataOnly="0" labelOnly="1" fieldPosition="0">
        <references count="1">
          <reference field="0" count="0"/>
        </references>
      </pivotArea>
    </format>
  </formats>
  <conditionalFormats count="17">
    <conditionalFormat priority="18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6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19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5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0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4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3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2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2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3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1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4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0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5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9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6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8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7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7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8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6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29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5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30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4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3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3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32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2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33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1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  <conditionalFormat priority="34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1" selected="0">
              <x v="0"/>
            </reference>
            <reference field="11" count="3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</reference>
          </references>
        </pivotArea>
      </pivotAreas>
    </conditionalFormat>
  </conditional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F4F35B-DF3F-4AC0-9583-6B0D7FA593E9}" name="Pivottabell1" cacheId="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colHeaderCaption=".">
  <location ref="A3:F193" firstHeaderRow="1" firstDataRow="2" firstDataCol="1"/>
  <pivotFields count="18">
    <pivotField showAll="0"/>
    <pivotField axis="axisRow" showAll="0" sortType="descending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f="1" x="18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3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numFmtId="9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2"/>
        <item x="1"/>
        <item x="3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189">
    <i>
      <x v="3"/>
    </i>
    <i>
      <x v="116"/>
    </i>
    <i>
      <x v="94"/>
    </i>
    <i>
      <x v="183"/>
    </i>
    <i>
      <x v="85"/>
    </i>
    <i>
      <x v="131"/>
    </i>
    <i>
      <x v="134"/>
    </i>
    <i>
      <x v="186"/>
    </i>
    <i>
      <x v="41"/>
    </i>
    <i>
      <x v="185"/>
    </i>
    <i>
      <x v="143"/>
    </i>
    <i>
      <x v="81"/>
    </i>
    <i>
      <x v="12"/>
    </i>
    <i>
      <x v="102"/>
    </i>
    <i>
      <x v="39"/>
    </i>
    <i>
      <x v="74"/>
    </i>
    <i>
      <x v="77"/>
    </i>
    <i>
      <x v="168"/>
    </i>
    <i>
      <x v="109"/>
    </i>
    <i>
      <x v="156"/>
    </i>
    <i>
      <x v="158"/>
    </i>
    <i>
      <x v="157"/>
    </i>
    <i>
      <x v="138"/>
    </i>
    <i>
      <x v="25"/>
    </i>
    <i>
      <x v="99"/>
    </i>
    <i>
      <x v="110"/>
    </i>
    <i>
      <x v="132"/>
    </i>
    <i>
      <x v="40"/>
    </i>
    <i>
      <x v="174"/>
    </i>
    <i>
      <x v="52"/>
    </i>
    <i>
      <x v="76"/>
    </i>
    <i>
      <x v="126"/>
    </i>
    <i>
      <x v="175"/>
    </i>
    <i>
      <x v="106"/>
    </i>
    <i>
      <x v="154"/>
    </i>
    <i>
      <x v="89"/>
    </i>
    <i>
      <x v="113"/>
    </i>
    <i>
      <x v="61"/>
    </i>
    <i>
      <x v="23"/>
    </i>
    <i>
      <x v="112"/>
    </i>
    <i>
      <x v="90"/>
    </i>
    <i>
      <x v="169"/>
    </i>
    <i>
      <x v="104"/>
    </i>
    <i>
      <x v="71"/>
    </i>
    <i>
      <x v="6"/>
    </i>
    <i>
      <x v="172"/>
    </i>
    <i>
      <x v="14"/>
    </i>
    <i>
      <x v="42"/>
    </i>
    <i>
      <x v="36"/>
    </i>
    <i>
      <x v="47"/>
    </i>
    <i>
      <x v="58"/>
    </i>
    <i>
      <x v="54"/>
    </i>
    <i>
      <x v="184"/>
    </i>
    <i>
      <x v="149"/>
    </i>
    <i>
      <x v="83"/>
    </i>
    <i>
      <x v="127"/>
    </i>
    <i>
      <x v="70"/>
    </i>
    <i>
      <x v="182"/>
    </i>
    <i>
      <x v="167"/>
    </i>
    <i>
      <x v="125"/>
    </i>
    <i>
      <x v="171"/>
    </i>
    <i>
      <x v="173"/>
    </i>
    <i>
      <x v="37"/>
    </i>
    <i>
      <x v="92"/>
    </i>
    <i>
      <x v="45"/>
    </i>
    <i>
      <x v="38"/>
    </i>
    <i>
      <x v="151"/>
    </i>
    <i>
      <x v="29"/>
    </i>
    <i>
      <x v="73"/>
    </i>
    <i>
      <x v="68"/>
    </i>
    <i>
      <x v="56"/>
    </i>
    <i>
      <x v="4"/>
    </i>
    <i>
      <x v="124"/>
    </i>
    <i>
      <x v="64"/>
    </i>
    <i>
      <x v="159"/>
    </i>
    <i>
      <x v="30"/>
    </i>
    <i>
      <x v="142"/>
    </i>
    <i>
      <x v="120"/>
    </i>
    <i>
      <x v="88"/>
    </i>
    <i>
      <x v="26"/>
    </i>
    <i>
      <x v="181"/>
    </i>
    <i>
      <x v="50"/>
    </i>
    <i>
      <x v="63"/>
    </i>
    <i>
      <x v="105"/>
    </i>
    <i>
      <x v="111"/>
    </i>
    <i>
      <x v="145"/>
    </i>
    <i>
      <x v="66"/>
    </i>
    <i>
      <x v="95"/>
    </i>
    <i>
      <x v="97"/>
    </i>
    <i>
      <x/>
    </i>
    <i>
      <x v="17"/>
    </i>
    <i>
      <x v="13"/>
    </i>
    <i>
      <x v="79"/>
    </i>
    <i>
      <x v="72"/>
    </i>
    <i>
      <x v="33"/>
    </i>
    <i>
      <x v="123"/>
    </i>
    <i>
      <x v="11"/>
    </i>
    <i>
      <x v="115"/>
    </i>
    <i>
      <x v="119"/>
    </i>
    <i>
      <x v="98"/>
    </i>
    <i>
      <x v="117"/>
    </i>
    <i>
      <x v="21"/>
    </i>
    <i>
      <x v="19"/>
    </i>
    <i>
      <x v="51"/>
    </i>
    <i>
      <x v="8"/>
    </i>
    <i>
      <x v="103"/>
    </i>
    <i>
      <x v="48"/>
    </i>
    <i>
      <x v="118"/>
    </i>
    <i>
      <x v="187"/>
    </i>
    <i>
      <x v="15"/>
    </i>
    <i>
      <x v="22"/>
    </i>
    <i>
      <x v="2"/>
    </i>
    <i>
      <x v="5"/>
    </i>
    <i>
      <x v="35"/>
    </i>
    <i>
      <x v="166"/>
    </i>
    <i>
      <x v="24"/>
    </i>
    <i>
      <x v="128"/>
    </i>
    <i>
      <x v="139"/>
    </i>
    <i>
      <x v="108"/>
    </i>
    <i>
      <x v="101"/>
    </i>
    <i>
      <x v="179"/>
    </i>
    <i>
      <x v="82"/>
    </i>
    <i>
      <x v="75"/>
    </i>
    <i>
      <x v="18"/>
    </i>
    <i>
      <x v="135"/>
    </i>
    <i>
      <x v="153"/>
    </i>
    <i>
      <x v="32"/>
    </i>
    <i>
      <x v="162"/>
    </i>
    <i>
      <x v="62"/>
    </i>
    <i>
      <x v="80"/>
    </i>
    <i>
      <x v="53"/>
    </i>
    <i>
      <x v="150"/>
    </i>
    <i>
      <x v="34"/>
    </i>
    <i>
      <x v="136"/>
    </i>
    <i>
      <x v="141"/>
    </i>
    <i>
      <x v="46"/>
    </i>
    <i>
      <x v="121"/>
    </i>
    <i>
      <x v="170"/>
    </i>
    <i>
      <x v="148"/>
    </i>
    <i>
      <x v="55"/>
    </i>
    <i>
      <x v="86"/>
    </i>
    <i>
      <x v="152"/>
    </i>
    <i>
      <x v="31"/>
    </i>
    <i>
      <x v="130"/>
    </i>
    <i>
      <x v="176"/>
    </i>
    <i>
      <x v="129"/>
    </i>
    <i>
      <x v="144"/>
    </i>
    <i>
      <x v="1"/>
    </i>
    <i>
      <x v="28"/>
    </i>
    <i>
      <x v="69"/>
    </i>
    <i>
      <x v="7"/>
    </i>
    <i>
      <x v="78"/>
    </i>
    <i>
      <x v="114"/>
    </i>
    <i>
      <x v="96"/>
    </i>
    <i>
      <x v="93"/>
    </i>
    <i>
      <x v="146"/>
    </i>
    <i>
      <x v="107"/>
    </i>
    <i>
      <x v="163"/>
    </i>
    <i>
      <x v="65"/>
    </i>
    <i>
      <x v="16"/>
    </i>
    <i>
      <x v="20"/>
    </i>
    <i>
      <x v="180"/>
    </i>
    <i>
      <x v="10"/>
    </i>
    <i>
      <x v="91"/>
    </i>
    <i>
      <x v="165"/>
    </i>
    <i>
      <x v="137"/>
    </i>
    <i>
      <x v="147"/>
    </i>
    <i>
      <x v="59"/>
    </i>
    <i>
      <x v="140"/>
    </i>
    <i>
      <x v="122"/>
    </i>
    <i>
      <x v="57"/>
    </i>
    <i>
      <x v="100"/>
    </i>
    <i>
      <x v="155"/>
    </i>
    <i>
      <x v="27"/>
    </i>
    <i>
      <x v="44"/>
    </i>
    <i>
      <x v="43"/>
    </i>
    <i>
      <x v="133"/>
    </i>
    <i>
      <x v="87"/>
    </i>
    <i>
      <x v="177"/>
    </i>
    <i>
      <x v="188"/>
    </i>
    <i>
      <x v="178"/>
    </i>
    <i>
      <x v="160"/>
    </i>
    <i>
      <x v="9"/>
    </i>
    <i>
      <x v="164"/>
    </i>
    <i>
      <x v="84"/>
    </i>
    <i>
      <x v="60"/>
    </i>
    <i>
      <x v="49"/>
    </i>
    <i>
      <x v="67"/>
    </i>
    <i t="grand">
      <x/>
    </i>
  </rowItems>
  <colFields count="1">
    <field x="12"/>
  </colFields>
  <colItems count="5">
    <i>
      <x/>
    </i>
    <i>
      <x v="1"/>
    </i>
    <i>
      <x v="2"/>
    </i>
    <i>
      <x v="3"/>
    </i>
    <i t="grand">
      <x/>
    </i>
  </colItems>
  <dataFields count="1">
    <dataField name="Summa av MAT" fld="2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5A934A-EFA4-4502-8A78-AE6B1255FE0F}" name="Pivottabell2" cacheId="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colHeaderCaption=",">
  <location ref="H3:M193" firstHeaderRow="1" firstDataRow="2" firstDataCol="1"/>
  <pivotFields count="18">
    <pivotField showAll="0"/>
    <pivotField axis="axisRow" showAll="0">
      <items count="190">
        <item x="127"/>
        <item x="4"/>
        <item x="133"/>
        <item x="52"/>
        <item x="20"/>
        <item x="71"/>
        <item x="149"/>
        <item x="138"/>
        <item x="142"/>
        <item x="30"/>
        <item x="68"/>
        <item x="170"/>
        <item x="48"/>
        <item x="95"/>
        <item x="53"/>
        <item x="180"/>
        <item x="141"/>
        <item x="75"/>
        <item x="55"/>
        <item x="11"/>
        <item x="160"/>
        <item x="72"/>
        <item x="134"/>
        <item x="167"/>
        <item x="92"/>
        <item x="78"/>
        <item x="63"/>
        <item x="69"/>
        <item x="23"/>
        <item x="155"/>
        <item x="100"/>
        <item x="93"/>
        <item x="24"/>
        <item x="98"/>
        <item x="119"/>
        <item x="159"/>
        <item x="5"/>
        <item x="112"/>
        <item x="126"/>
        <item x="19"/>
        <item x="2"/>
        <item x="111"/>
        <item x="59"/>
        <item x="18"/>
        <item x="70"/>
        <item x="39"/>
        <item x="152"/>
        <item x="169"/>
        <item x="151"/>
        <item x="76"/>
        <item x="99"/>
        <item x="130"/>
        <item x="161"/>
        <item x="1"/>
        <item x="140"/>
        <item x="25"/>
        <item x="38"/>
        <item x="122"/>
        <item x="147"/>
        <item x="66"/>
        <item x="46"/>
        <item x="77"/>
        <item x="173"/>
        <item x="118"/>
        <item x="116"/>
        <item x="121"/>
        <item x="178"/>
        <item f="1" x="188"/>
        <item x="172"/>
        <item x="183"/>
        <item x="91"/>
        <item x="44"/>
        <item x="50"/>
        <item x="154"/>
        <item x="67"/>
        <item x="31"/>
        <item x="8"/>
        <item x="113"/>
        <item x="176"/>
        <item x="51"/>
        <item x="136"/>
        <item x="49"/>
        <item x="103"/>
        <item x="166"/>
        <item x="32"/>
        <item x="37"/>
        <item x="94"/>
        <item x="81"/>
        <item x="139"/>
        <item x="117"/>
        <item x="150"/>
        <item x="156"/>
        <item x="164"/>
        <item x="120"/>
        <item x="0"/>
        <item x="80"/>
        <item x="184"/>
        <item x="125"/>
        <item x="97"/>
        <item x="162"/>
        <item x="13"/>
        <item x="175"/>
        <item x="114"/>
        <item x="179"/>
        <item x="57"/>
        <item x="107"/>
        <item x="131"/>
        <item x="153"/>
        <item x="82"/>
        <item x="12"/>
        <item x="145"/>
        <item x="85"/>
        <item x="36"/>
        <item x="10"/>
        <item x="56"/>
        <item x="96"/>
        <item x="34"/>
        <item x="129"/>
        <item x="3"/>
        <item x="108"/>
        <item x="84"/>
        <item x="43"/>
        <item x="144"/>
        <item x="109"/>
        <item x="54"/>
        <item x="165"/>
        <item x="163"/>
        <item x="9"/>
        <item x="181"/>
        <item x="185"/>
        <item x="15"/>
        <item x="47"/>
        <item x="115"/>
        <item x="33"/>
        <item x="28"/>
        <item x="65"/>
        <item x="74"/>
        <item x="143"/>
        <item x="83"/>
        <item x="41"/>
        <item x="29"/>
        <item x="124"/>
        <item x="128"/>
        <item x="62"/>
        <item x="104"/>
        <item x="7"/>
        <item x="73"/>
        <item x="158"/>
        <item x="22"/>
        <item x="64"/>
        <item x="174"/>
        <item x="21"/>
        <item x="6"/>
        <item x="182"/>
        <item x="168"/>
        <item x="123"/>
        <item x="58"/>
        <item x="42"/>
        <item x="146"/>
        <item x="177"/>
        <item x="186"/>
        <item m="1" x="187"/>
        <item x="14"/>
        <item x="27"/>
        <item x="45"/>
        <item x="88"/>
        <item x="132"/>
        <item x="171"/>
        <item x="61"/>
        <item x="148"/>
        <item x="135"/>
        <item x="110"/>
        <item x="90"/>
        <item x="40"/>
        <item x="89"/>
        <item x="87"/>
        <item x="137"/>
        <item x="105"/>
        <item x="106"/>
        <item x="101"/>
        <item x="157"/>
        <item x="102"/>
        <item x="26"/>
        <item x="79"/>
        <item x="35"/>
        <item x="86"/>
        <item x="60"/>
        <item x="16"/>
        <item x="17"/>
        <item t="default"/>
      </items>
    </pivotField>
    <pivotField showAll="0"/>
    <pivotField numFmtId="9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5">
        <item x="2"/>
        <item x="1"/>
        <item x="3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1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 t="grand">
      <x/>
    </i>
  </rowItems>
  <colFields count="1">
    <field x="12"/>
  </colFields>
  <colItems count="5">
    <i>
      <x/>
    </i>
    <i>
      <x v="1"/>
    </i>
    <i>
      <x v="2"/>
    </i>
    <i>
      <x v="3"/>
    </i>
    <i t="grand">
      <x/>
    </i>
  </colItems>
  <dataFields count="1">
    <dataField name="Summa av MÅL" fld="6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" xr10:uid="{F0BA8707-833A-4E9E-AF9F-A2B929F261B3}" sourceName="ÅR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SENASTE" xr10:uid="{33091410-3B40-4C25-BAD2-AFF3142FF0E1}" sourceName="SENASTE">
  <extLst>
    <x:ext xmlns:x15="http://schemas.microsoft.com/office/spreadsheetml/2010/11/main" uri="{2F2917AC-EB37-4324-AD4E-5DD8C200BD13}">
      <x15:tableSlicerCache tableId="4" column="6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R" xr10:uid="{EA06EA37-6784-4F18-8D55-885976B5D66D}" sourceName="ÅR">
  <extLst>
    <x:ext xmlns:x15="http://schemas.microsoft.com/office/spreadsheetml/2010/11/main" uri="{2F2917AC-EB37-4324-AD4E-5DD8C200BD13}">
      <x15:tableSlicerCache tableId="7" column="9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A_LAGS_MATCHER" xr10:uid="{9DFE00F1-01FB-4768-A597-37FD5730BF4F}" sourceName="A-LAGS MATCHER">
  <extLst>
    <x:ext xmlns:x15="http://schemas.microsoft.com/office/spreadsheetml/2010/11/main" uri="{2F2917AC-EB37-4324-AD4E-5DD8C200BD13}">
      <x15:tableSlicerCache tableId="1" column="14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MAT" xr10:uid="{E600C195-5826-4782-AEC1-1031146156DC}" sourceName="MAT">
  <extLst>
    <x:ext xmlns:x15="http://schemas.microsoft.com/office/spreadsheetml/2010/11/main" uri="{2F2917AC-EB37-4324-AD4E-5DD8C200BD13}">
      <x15:tableSlicerCache tableId="4" column="2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VAR" xr10:uid="{74DDCE71-F3FF-4AAB-997C-D295C1892529}" sourceName="VAR">
  <extLst>
    <x:ext xmlns:x15="http://schemas.microsoft.com/office/spreadsheetml/2010/11/main" uri="{2F2917AC-EB37-4324-AD4E-5DD8C200BD13}">
      <x15:tableSlicerCache tableId="4" column="3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MÅL" xr10:uid="{3E4D9BA4-9FF3-42B0-AF10-8F1D245E3253}" sourceName="MÅL">
  <extLst>
    <x:ext xmlns:x15="http://schemas.microsoft.com/office/spreadsheetml/2010/11/main" uri="{2F2917AC-EB37-4324-AD4E-5DD8C200BD13}">
      <x15:tableSlicerCache tableId="4" column="5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SÄS" xr10:uid="{7777A9B7-3DAD-44D8-8202-BFA8A3613216}" sourceName="SÄS">
  <extLst>
    <x:ext xmlns:x15="http://schemas.microsoft.com/office/spreadsheetml/2010/11/main" uri="{2F2917AC-EB37-4324-AD4E-5DD8C200BD13}">
      <x15:tableSlicerCache tableId="4" column="7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UTV" xr10:uid="{20F0C3F7-3AE8-4741-BB72-BDBC1F646EE1}" sourceName="UTV">
  <extLst>
    <x:ext xmlns:x15="http://schemas.microsoft.com/office/spreadsheetml/2010/11/main" uri="{2F2917AC-EB37-4324-AD4E-5DD8C200BD13}">
      <x15:tableSlicerCache tableId="4" column="4"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Namn" xr10:uid="{6DE681A0-8B9C-48C6-A6C1-EBE752954500}" sourceName="Namn">
  <extLst>
    <x:ext xmlns:x15="http://schemas.microsoft.com/office/spreadsheetml/2010/11/main" uri="{2F2917AC-EB37-4324-AD4E-5DD8C200BD13}">
      <x15:tableSlicerCache tableId="23" column="2"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Namn1" xr10:uid="{3FB98125-237F-4B94-9F69-DF77CDD7413E}" sourceName="Namn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Namn" xr10:uid="{7820BF19-CC6A-4F6F-BD3E-984FBC9063EF}" sourceName="Namn">
  <extLst>
    <x:ext xmlns:x15="http://schemas.microsoft.com/office/spreadsheetml/2010/11/main" uri="{2F2917AC-EB37-4324-AD4E-5DD8C200BD13}">
      <x15:tableSlicerCache tableId="1" column="3"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SENASTE1" xr10:uid="{DF0D02AC-47CF-43A3-A3C9-C98CC1B7816F}" sourceName="SENASTE">
  <extLst>
    <x:ext xmlns:x15="http://schemas.microsoft.com/office/spreadsheetml/2010/11/main" uri="{2F2917AC-EB37-4324-AD4E-5DD8C200BD13}">
      <x15:tableSlicerCache tableId="5" column="6"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LDER1" xr10:uid="{C982ADF0-695F-4BAF-9A78-059C80170BEF}" sourceName="ÅLDER">
  <extLst>
    <x:ext xmlns:x15="http://schemas.microsoft.com/office/spreadsheetml/2010/11/main" uri="{2F2917AC-EB37-4324-AD4E-5DD8C200BD13}">
      <x15:tableSlicerCache tableId="5" column="9"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R1" xr10:uid="{C5F10029-65BD-425E-BD35-63B0221D0185}" sourceName="ÅR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Namn2" xr10:uid="{0089FAE3-8132-4340-873A-741CC2349130}" sourceName="Namn">
  <extLst>
    <x:ext xmlns:x15="http://schemas.microsoft.com/office/spreadsheetml/2010/11/main" uri="{2F2917AC-EB37-4324-AD4E-5DD8C200BD13}">
      <x15:tableSlicerCache tableId="8" column="2"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R2" xr10:uid="{4427DE41-841B-41CA-91A7-B4BA74050A48}" sourceName="ÅR">
  <extLst>
    <x:ext xmlns:x15="http://schemas.microsoft.com/office/spreadsheetml/2010/11/main" uri="{2F2917AC-EB37-4324-AD4E-5DD8C200BD13}">
      <x15:tableSlicerCache tableId="13" column="1"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Namn3" xr10:uid="{BFA67B92-4895-4E11-96A3-C398B7F5000C}" sourceName="Namn">
  <extLst>
    <x:ext xmlns:x15="http://schemas.microsoft.com/office/spreadsheetml/2010/11/main" uri="{2F2917AC-EB37-4324-AD4E-5DD8C200BD13}">
      <x15:tableSlicerCache tableId="13" column="2"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R3" xr10:uid="{4302187E-2336-4EC9-9B22-6DD74C8B4F12}" sourceName="ÅR">
  <extLst>
    <x:ext xmlns:x15="http://schemas.microsoft.com/office/spreadsheetml/2010/11/main" uri="{2F2917AC-EB37-4324-AD4E-5DD8C200BD13}">
      <x15:tableSlicerCache tableId="16" column="1"/>
    </x:ext>
  </extLst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Namn4" xr10:uid="{B7E49169-3C5E-4F9A-ACA1-FB53E66631B7}" sourceName="Namn">
  <extLst>
    <x:ext xmlns:x15="http://schemas.microsoft.com/office/spreadsheetml/2010/11/main" uri="{2F2917AC-EB37-4324-AD4E-5DD8C200BD13}">
      <x15:tableSlicerCache tableId="16" column="2"/>
    </x:ext>
  </extLst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R4" xr10:uid="{9A83E0A3-FC14-4253-B2F9-809C8A782FBE}" sourceName="ÅR">
  <extLst>
    <x:ext xmlns:x15="http://schemas.microsoft.com/office/spreadsheetml/2010/11/main" uri="{2F2917AC-EB37-4324-AD4E-5DD8C200BD13}">
      <x15:tableSlicerCache tableId="17" column="1"/>
    </x:ext>
  </extLst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Namn5" xr10:uid="{2354B8AF-75EC-483D-8752-8E7B1A9822FE}" sourceName="Namn">
  <extLst>
    <x:ext xmlns:x15="http://schemas.microsoft.com/office/spreadsheetml/2010/11/main" uri="{2F2917AC-EB37-4324-AD4E-5DD8C200BD13}">
      <x15:tableSlicerCache tableId="17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MAT" xr10:uid="{4CBB3941-D414-4E2C-A73A-D3101FD0A609}" sourceName="MAT %">
  <extLst>
    <x:ext xmlns:x15="http://schemas.microsoft.com/office/spreadsheetml/2010/11/main" uri="{2F2917AC-EB37-4324-AD4E-5DD8C200BD13}">
      <x15:tableSlicerCache tableId="1" column="5"/>
    </x:ext>
  </extLst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HEMMALAG" xr10:uid="{42E5E80E-6FD6-4436-A906-83F56CDCBDC4}" sourceName="HEMMALAG">
  <extLst>
    <x:ext xmlns:x15="http://schemas.microsoft.com/office/spreadsheetml/2010/11/main" uri="{2F2917AC-EB37-4324-AD4E-5DD8C200BD13}">
      <x15:tableSlicerCache tableId="7" column="3"/>
    </x:ext>
  </extLst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BORTALAG" xr10:uid="{51EF88D3-33D5-44C6-87BA-9F83CE82D5B0}" sourceName="BORTALAG">
  <extLst>
    <x:ext xmlns:x15="http://schemas.microsoft.com/office/spreadsheetml/2010/11/main" uri="{2F2917AC-EB37-4324-AD4E-5DD8C200BD13}">
      <x15:tableSlicerCache tableId="7" column="4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MÅL" xr10:uid="{5FA2415D-0E95-4805-B264-777EC09585BC}" sourceName="MÅL">
  <extLst>
    <x:ext xmlns:x15="http://schemas.microsoft.com/office/spreadsheetml/2010/11/main" uri="{2F2917AC-EB37-4324-AD4E-5DD8C200BD13}">
      <x15:tableSlicerCache tableId="1" column="8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UTV" xr10:uid="{26FD5440-4793-41FB-91C9-A49433EBCF1B}" sourceName="UTV">
  <extLst>
    <x:ext xmlns:x15="http://schemas.microsoft.com/office/spreadsheetml/2010/11/main" uri="{2F2917AC-EB37-4324-AD4E-5DD8C200BD13}">
      <x15:tableSlicerCache tableId="1" column="7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VAR" xr10:uid="{B4A66203-D810-43AF-8D78-59A7C5C3D4EF}" sourceName="VAR">
  <extLst>
    <x:ext xmlns:x15="http://schemas.microsoft.com/office/spreadsheetml/2010/11/main" uri="{2F2917AC-EB37-4324-AD4E-5DD8C200BD13}">
      <x15:tableSlicerCache tableId="1" column="6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LDER" xr10:uid="{4842231B-737A-40C8-94F1-44305A342C19}" sourceName="ÅLDER">
  <extLst>
    <x:ext xmlns:x15="http://schemas.microsoft.com/office/spreadsheetml/2010/11/main" uri="{2F2917AC-EB37-4324-AD4E-5DD8C200BD13}">
      <x15:tableSlicerCache tableId="1" column="12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DIVISION" xr10:uid="{4DFC8E40-BA6F-4E2A-9069-73AD50028EE6}" sourceName="DIVISION">
  <extLst>
    <x:ext xmlns:x15="http://schemas.microsoft.com/office/spreadsheetml/2010/11/main" uri="{2F2917AC-EB37-4324-AD4E-5DD8C200BD13}">
      <x15:tableSlicerCache tableId="1" column="13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ANTAL_SÄSONGER1" xr10:uid="{AACB1362-B6EE-484E-8162-DA8147171260}" sourceName="SÄSONGER">
  <extLst>
    <x:ext xmlns:x15="http://schemas.microsoft.com/office/spreadsheetml/2010/11/main" uri="{2F2917AC-EB37-4324-AD4E-5DD8C200BD13}">
      <x15:tableSlicerCache tableId="1" column="1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2" xr10:uid="{55B02DB2-331F-44B5-98F7-398C01E6CD10}" cache="Utsnitt_ÅR1" caption="ÅR" columnCount="2" rowHeight="144000"/>
  <slicer name="Namn 3" xr10:uid="{47C00CEB-52F8-482D-9F76-C2CA42B2AFD8}" cache="Utsnitt_Namn2" caption="Namn" columnCount="3" rowHeight="108000"/>
  <slicer name="ÅR 3" xr10:uid="{804A0787-553E-4FF6-B371-30917A857D47}" cache="Utsnitt_ÅR2" caption="ÅR" columnCount="2" rowHeight="108000"/>
  <slicer name="Namn 4" xr10:uid="{D44AA3C6-0D94-4AE5-BC80-41D9FDE56ADF}" cache="Utsnitt_Namn3" caption="Namn" columnCount="3" rowHeight="108000"/>
  <slicer name="ÅR 4" xr10:uid="{520897FA-3F14-4341-830E-02C18DA94F20}" cache="Utsnitt_ÅR3" caption="ÅR" columnCount="2" rowHeight="171450"/>
  <slicer name="Namn 5" xr10:uid="{905C2C0A-ECE0-4442-9DFB-E78A67C77C6A}" cache="Utsnitt_Namn4" caption="Namn" rowHeight="126000"/>
  <slicer name="ÅR 5" xr10:uid="{AAA64060-B3D8-43EC-A60C-E4AD12F2E244}" cache="Utsnitt_ÅR4" caption="ÅR" columnCount="2" rowHeight="108000"/>
  <slicer name="Namn 6" xr10:uid="{5C5D32B2-2470-4383-9E95-0A84AE17D182}" cache="Utsnitt_Namn5" caption="Namn" columnCount="2" rowHeight="12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" xr10:uid="{8F03EADB-0C81-4FAC-BD5E-C6BAAF172054}" cache="Slicer_ÅR" caption="ÅR" style="SlicerStyleDark6" rowHeight="90000"/>
  <slicer name="Namn" xr10:uid="{6ECCA8F8-8646-4729-90CB-7EB04AEC9820}" cache="Slicer_Namn" caption="Namn" columnCount="4" style="SlicerStyleDark6" rowHeight="126000"/>
  <slicer name="MAT %" xr10:uid="{9CE13205-56C6-42C7-B2E8-D3864002F88F}" cache="Slicer_MAT" caption="MAT %" startItem="9" columnCount="9" style="SlicerStyleDark6" rowHeight="108000"/>
  <slicer name="MAT % 1" xr10:uid="{92A1DCB8-8809-47B8-9A6A-9E68ACD12458}" cache="Slicer_MAT" caption="MAT %" startItem="45" columnCount="3" rowHeight="144000"/>
  <slicer name="MÅL" xr10:uid="{769C1A33-46E9-401A-A6BB-CEF3BF40AE07}" cache="Slicer_MÅL" caption="MÅL" columnCount="8" style="SlicerStyleDark6" rowHeight="90000"/>
  <slicer name="UTV" xr10:uid="{ADA2F950-EB6A-412E-988A-8148AECCA393}" cache="Slicer_UTV" caption="UTV" columnCount="2" style="SlicerStyleDark6" rowHeight="144000"/>
  <slicer name="VAR" xr10:uid="{3AC78335-E550-4724-B7C1-9D78C8791B1A}" cache="Slicer_VAR" caption="VAR" columnCount="2" style="SlicerStyleDark6" rowHeight="126000"/>
  <slicer name="ÅLDER" xr10:uid="{E305205D-3C11-4DE4-B74B-0548231A28CF}" cache="Utsnitt_ÅLDER" caption="ÅLDER" columnCount="3" style="SlicerStyleDark6" rowHeight="108000"/>
  <slicer name="DIVISION" xr10:uid="{A3AE5CF1-0570-4175-A6C7-DD3C084AA8DB}" cache="Utsnitt_DIVISION" caption="DIVISION" style="SlicerStyleDark6" rowHeight="108000"/>
  <slicer name="ANTAL SÄSONGER 1" xr10:uid="{00AA526F-B51B-4C3D-9351-73ED53262CC3}" cache="Utsnitt_ANTAL_SÄSONGER1" caption="SÄSONGER" columnCount="5" style="SlicerStyleDark6" rowHeight="144000"/>
  <slicer name="A-LAGS MATCHER" xr10:uid="{5D326056-C91D-482A-BD10-D42872E55606}" cache="Utsnitt_A_LAGS_MATCHER" caption="A-LAGS MATCHER" columnCount="6" style="SlicerStyleDark6" rowHeight="108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NASTE" xr10:uid="{BF36CCF6-035F-40DA-9171-C6DA2B26193E}" cache="Utsnitt_SENASTE" caption="SENASTE" columnCount="9" style="SlicerStyleDark6" rowHeight="126000"/>
  <slicer name="MAT" xr10:uid="{23406FC8-B0CF-4010-8990-D51111B533BA}" cache="Utsnitt_MAT" caption="MAT" columnCount="13" style="SlicerStyleDark6" rowHeight="108000"/>
  <slicer name="VAR 1" xr10:uid="{30F61F39-1729-41C7-95D3-AEC2CBD1F703}" cache="Utsnitt_VAR" caption="VAR" columnCount="2" style="SlicerStyleDark6" rowHeight="144000"/>
  <slicer name="MÅL 1" xr10:uid="{1B8C3B65-06E7-4E23-9DF2-C8EB51050A66}" cache="Utsnitt_MÅL" caption="MÅL" columnCount="3" style="SlicerStyleDark6" rowHeight="144000"/>
  <slicer name="SÄS" xr10:uid="{0ECED898-2AEE-4F30-A184-FDD5FAF92CE8}" cache="Utsnitt_SÄS" caption="SÄS" columnCount="2" style="SlicerStyleDark6" rowHeight="252000"/>
  <slicer name="UTV 1" xr10:uid="{C2B36106-1ED6-40E1-917E-3581AA4469E9}" cache="Utsnitt_UTV" caption="UTV" columnCount="2" style="SlicerStyleDark6" rowHeight="144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amn 2" xr10:uid="{563B641D-754C-4C42-A21D-9E5366553CED}" cache="Utsnitt_Namn1" caption="Namn" columnCount="5" style="SlicerStyleDark6" rowHeight="108000"/>
  <slicer name="SENASTE 1" xr10:uid="{14B7F0A3-6C94-4753-9D48-371109621F2B}" cache="Utsnitt_SENASTE1" caption="SENASTE" columnCount="3" style="SlicerStyleDark6" rowHeight="108000"/>
  <slicer name="ÅLDER 1" xr10:uid="{40CDE27F-F989-4E5E-99A5-CD8C3044C543}" cache="Utsnitt_ÅLDER1" caption="ÅLDER" columnCount="4" style="SlicerStyleDark6" rowHeight="108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1" xr10:uid="{7D30770A-A8D1-4521-8FD3-043370DDFA77}" cache="Utsnitt_ÅR" caption="ÅR" columnCount="2" style="SlicerStyleDark6" rowHeight="108000"/>
  <slicer name="HEMMALAG" xr10:uid="{95BBE655-7917-48BE-905C-6D5EEBD2D5D1}" cache="Utsnitt_HEMMALAG" caption="HEMMALAG" columnCount="2" style="SlicerStyleDark6" rowHeight="108000"/>
  <slicer name="BORTALAG" xr10:uid="{289FBFFF-750B-4EEE-A10D-DFCED0983C62}" cache="Utsnitt_BORTALAG" caption="BORTALAG" columnCount="2" style="SlicerStyleDark6" rowHeight="108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amn 1" xr10:uid="{D0F336AA-84B3-4F63-BE72-03A8DE0AD4BA}" cache="Utsnitt_Namn" caption="Namn" columnCount="5" style="SlicerStyleDark6" rowHeight="144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00CDD16-D56C-4E50-8269-C3A45FAC55AE}" name="Tabell8" displayName="Tabell8" ref="A13:H50" totalsRowShown="0" headerRowDxfId="70" dataDxfId="69">
  <autoFilter ref="A13:H50" xr:uid="{A00CDD16-D56C-4E50-8269-C3A45FAC55A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14:H50">
    <sortCondition ref="G14:G50"/>
    <sortCondition descending="1" ref="F14:F50"/>
    <sortCondition descending="1" ref="A14:A50"/>
  </sortState>
  <tableColumns count="8">
    <tableColumn id="1" xr3:uid="{C0D49079-C5E8-4577-8BD4-854F644A7771}" name="ÅR" dataDxfId="78"/>
    <tableColumn id="2" xr3:uid="{FBC31B78-07B9-40D4-93FB-D09970235A55}" name="Namn" dataDxfId="77"/>
    <tableColumn id="3" xr3:uid="{34C5A56C-ADCC-4DA5-B6F8-417C40AE7DE0}" name="MAT" dataDxfId="76"/>
    <tableColumn id="5" xr3:uid="{0AA29C64-03D5-4C66-BEFA-118145FE55C3}" name="VAR" dataDxfId="75"/>
    <tableColumn id="6" xr3:uid="{C0F05FDC-0197-477E-BFDA-B345012ABD85}" name="UTV" dataDxfId="74"/>
    <tableColumn id="7" xr3:uid="{76292CAF-EE72-4980-A8C6-304C7EAA3F16}" name="MÅL" dataDxfId="73"/>
    <tableColumn id="12" xr3:uid="{33DCCBA8-FEE7-4E7B-9695-F9E9CF3057C5}" name="ÅLDER" dataDxfId="72"/>
    <tableColumn id="13" xr3:uid="{50377C8B-3430-4EEA-82BC-70B563227CC0}" name="DIVISION" dataDxfId="71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A06B44D-987D-491C-BB17-1F62315136D7}" name="MATCHHISTORIK" displayName="MATCHHISTORIK" ref="A14:O300" totalsRowShown="0" headerRowDxfId="224" dataDxfId="223">
  <autoFilter ref="A14:O300" xr:uid="{BA06B44D-987D-491C-BB17-1F62315136D7}"/>
  <sortState xmlns:xlrd2="http://schemas.microsoft.com/office/spreadsheetml/2017/richdata2" ref="A15:O284">
    <sortCondition ref="D15:D284"/>
  </sortState>
  <tableColumns count="15">
    <tableColumn id="1" xr3:uid="{9D31BA08-6086-415F-AA53-EC36E9DEC7C4}" name="OMG" dataDxfId="222"/>
    <tableColumn id="12" xr3:uid="{44F15894-8611-409B-9C64-124F377A7BBF}" name="DIV" dataDxfId="221"/>
    <tableColumn id="9" xr3:uid="{3A77608B-7D30-4B06-A790-391436B505FC}" name="ÅR" dataDxfId="220"/>
    <tableColumn id="2" xr3:uid="{5A0191DC-F043-4E0A-A66A-8FB18CE74693}" name="DATUM" dataDxfId="219"/>
    <tableColumn id="3" xr3:uid="{17BAAFCF-BD5F-4F50-9409-F6047C50BEEF}" name="HEMMALAG" dataDxfId="218"/>
    <tableColumn id="4" xr3:uid="{16AE8077-85E3-4CE6-9838-F92E8C8A2E7D}" name="BORTALAG" dataDxfId="217"/>
    <tableColumn id="5" xr3:uid="{0467BE1F-EDD4-45DB-86ED-D90A9FF6D263}" name="HL M" dataDxfId="216"/>
    <tableColumn id="6" xr3:uid="{77868141-5D20-41FE-AD42-0EB0EA451B42}" name="BL M" dataDxfId="215"/>
    <tableColumn id="7" xr3:uid="{9E910C79-E46E-4299-B82B-3F3052F06B65}" name="ÅHUS MS" dataDxfId="214"/>
    <tableColumn id="8" xr3:uid="{0325101F-BBD3-4AC8-B528-8C93B6BE14A3}" name="SUMMA" dataDxfId="213">
      <calculatedColumnFormula>MATCHHISTORIK[[#This Row],[HL M]]+MATCHHISTORIK[[#This Row],[BL M]]</calculatedColumnFormula>
    </tableColumn>
    <tableColumn id="11" xr3:uid="{46E038C1-A754-4CED-85C7-656F5586091F}" name="VINSTSVIT" dataDxfId="212"/>
    <tableColumn id="10" xr3:uid="{455B2C3B-1A6E-44BF-9DE0-9C8C175EA8F0}" name="ÅHUS MÅL" dataDxfId="211"/>
    <tableColumn id="13" xr3:uid="{B2F71792-F6F8-4BF7-B4BC-93AA455CBCC0}" name="V" dataDxfId="210"/>
    <tableColumn id="14" xr3:uid="{20E1E2C3-8785-49D0-B8A5-99B9B7A40033}" name="O" dataDxfId="209"/>
    <tableColumn id="15" xr3:uid="{A63860D8-994F-49B8-B1BF-6D49AAA67644}" name="F" dataDxfId="208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08FCDEF-9554-4B16-A056-97EA45653959}" name="Tabell21" displayName="Tabell21" ref="Q14:AC31" totalsRowCount="1" headerRowDxfId="207" dataDxfId="206">
  <autoFilter ref="Q14:AC30" xr:uid="{C08FCDEF-9554-4B16-A056-97EA456539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AA1BB5B8-B53B-4BD6-8881-AA5BA183C167}" name="ÅR" totalsRowLabel="Summa" dataDxfId="205" totalsRowDxfId="204"/>
    <tableColumn id="5" xr3:uid="{335D0881-56DF-44CD-9E42-ACAB6BF15519}" name="ANTAL MATCHER" totalsRowFunction="sum" dataDxfId="203" totalsRowDxfId="202">
      <calculatedColumnFormula>COUNTIF(C:C,Tabell21[[#This Row],[ÅR]])</calculatedColumnFormula>
    </tableColumn>
    <tableColumn id="6" xr3:uid="{0B043A93-FF41-4B81-A9B2-49B9C5D92F65}" name="ANTAL MATCHER GM MÅL" totalsRowFunction="sum" dataDxfId="201" totalsRowDxfId="200">
      <calculatedColumnFormula>SUMIF(C:C,Tabell21[[#This Row],[ÅR]],L:L)</calculatedColumnFormula>
    </tableColumn>
    <tableColumn id="7" xr3:uid="{EC6FE8C8-7015-472F-9B93-639CAE5AE2F4}" name="% MAT M GM" totalsRowFunction="custom" dataDxfId="199" totalsRowDxfId="198" totalsRowCellStyle="Procent">
      <calculatedColumnFormula>IFERROR(Tabell21[[#This Row],[ANTAL MATCHER GM MÅL]]/Tabell21[[#This Row],[ANTAL MATCHER]],"")</calculatedColumnFormula>
      <totalsRowFormula>Tabell21[[#Totals],[ANTAL MATCHER GM MÅL]]/Tabell21[[#Totals],[ANTAL MATCHER]]</totalsRowFormula>
    </tableColumn>
    <tableColumn id="2" xr3:uid="{98BD2396-0C0B-4256-B4C0-860B2A60310F}" name="MS" totalsRowFunction="sum" dataDxfId="197" totalsRowDxfId="196">
      <calculatedColumnFormula>SUMIF(C:C,Tabell21[[#This Row],[ÅR]],I:I)</calculatedColumnFormula>
    </tableColumn>
    <tableColumn id="4" xr3:uid="{B998CFF5-9B10-461B-9276-A5BF025084B2}" name="MS/MATCH" totalsRowFunction="custom" dataDxfId="195" totalsRowDxfId="194">
      <calculatedColumnFormula>IFERROR(Tabell21[[#This Row],[MS]]/Tabell21[[#This Row],[ANTAL MATCHER]],"")</calculatedColumnFormula>
      <totalsRowFormula>Tabell21[[#Totals],[MS]]/Tabell21[[#Totals],[ANTAL MATCHER]]</totalsRowFormula>
    </tableColumn>
    <tableColumn id="8" xr3:uid="{AF9CC972-D3C9-420C-9968-6116A7B3C501}" name="DIV" dataDxfId="193" totalsRowDxfId="192">
      <calculatedColumnFormula>IFERROR(VLOOKUP(Tabell21[[#This Row],[ÅR]],'ALLA ÅR'!A:M,13,0),"")</calculatedColumnFormula>
    </tableColumn>
    <tableColumn id="3" xr3:uid="{2BB961DC-68C5-4DEF-85E0-00FEA1D9511C}" name="V" totalsRowFunction="sum" dataDxfId="191" totalsRowDxfId="190"/>
    <tableColumn id="9" xr3:uid="{E57E7DA4-5512-409C-9FE3-37831BC2C07C}" name="O" totalsRowFunction="sum" dataDxfId="189" totalsRowDxfId="188"/>
    <tableColumn id="10" xr3:uid="{B58124F8-9CDD-4302-B00C-18B8C89E26B6}" name="F" totalsRowFunction="sum" dataDxfId="187" totalsRowDxfId="186"/>
    <tableColumn id="11" xr3:uid="{B6087E2F-DA2C-41EF-AE61-BC2C38F8A8E4}" name="V%" totalsRowFunction="custom" dataDxfId="185" totalsRowDxfId="184" totalsRowCellStyle="Procent">
      <calculatedColumnFormula>IFERROR(Tabell21[[#This Row],[V]]/Tabell21[[#This Row],[ANTAL MATCHER]],"")</calculatedColumnFormula>
      <totalsRowFormula>Tabell21[[#Totals],[V]]/Tabell21[[#Totals],[ANTAL MATCHER]]</totalsRowFormula>
    </tableColumn>
    <tableColumn id="12" xr3:uid="{D4528FF0-6DC9-455E-9401-A93D1F52DCB6}" name="O%" totalsRowFunction="custom" dataDxfId="183" totalsRowDxfId="182" totalsRowCellStyle="Procent">
      <calculatedColumnFormula>IFERROR(Tabell21[[#This Row],[O]]/Tabell21[[#This Row],[ANTAL MATCHER]],"")</calculatedColumnFormula>
      <totalsRowFormula>Tabell21[[#Totals],[O]]/Tabell21[[#Totals],[ANTAL MATCHER]]</totalsRowFormula>
    </tableColumn>
    <tableColumn id="13" xr3:uid="{7837B361-2622-49FB-9E6A-BADBA15B19A2}" name="F%" totalsRowFunction="custom" dataDxfId="181" totalsRowDxfId="180" totalsRowCellStyle="Procent">
      <calculatedColumnFormula>IFERROR(Tabell21[[#This Row],[F]]/Tabell21[[#This Row],[ANTAL MATCHER]],"")</calculatedColumnFormula>
      <totalsRowFormula>Tabell21[[#Totals],[F]]/Tabell21[[#Totals],[ANTAL MATCHER]]</totalsRowFormula>
    </tableColumn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26AA936-A4A9-4B32-A01A-9509E66A56BF}" name="Tabell32" displayName="Tabell32" ref="AE14:AU105" totalsRowShown="0" headerRowDxfId="179" dataDxfId="178">
  <autoFilter ref="AE14:AU105" xr:uid="{526AA936-A4A9-4B32-A01A-9509E66A56BF}"/>
  <sortState xmlns:xlrd2="http://schemas.microsoft.com/office/spreadsheetml/2017/richdata2" ref="AE15:AU105">
    <sortCondition descending="1" ref="AM14:AM105"/>
  </sortState>
  <tableColumns count="17">
    <tableColumn id="1" xr3:uid="{9FE2D739-8288-47F9-9B48-95CEA40B11C2}" name="MOTSTÅNDARE" dataDxfId="177"/>
    <tableColumn id="2" xr3:uid="{0FABA85C-2BB4-4A08-ABCA-CA469C4F0A72}" name="ÅHUS MATCHER" dataDxfId="176">
      <calculatedColumnFormula>COUNTIF(E:F,Tabell32[[#This Row],[MOTSTÅNDARE]])</calculatedColumnFormula>
    </tableColumn>
    <tableColumn id="4" xr3:uid="{6A71A54D-385F-4B62-8622-EA57278DF8FC}" name="MS ÅHUS IF" dataDxfId="175">
      <calculatedColumnFormula>Tabell32[[#This Row],[MS]]+Tabell32[[#This Row],[MS2]]</calculatedColumnFormula>
    </tableColumn>
    <tableColumn id="3" xr3:uid="{B84E1237-9F92-4D3F-A3D5-A6635006C588}" name="MS" dataDxfId="174">
      <calculatedColumnFormula>SUMIF(E:E,Tabell32[[#This Row],[MOTSTÅNDARE]],I:I)</calculatedColumnFormula>
    </tableColumn>
    <tableColumn id="5" xr3:uid="{2F919B3A-3696-468B-B5A0-1578F42462FA}" name="MS2" dataDxfId="173">
      <calculatedColumnFormula>SUMIF(F:F,Tabell32[[#This Row],[MOTSTÅNDARE]],I:I)</calculatedColumnFormula>
    </tableColumn>
    <tableColumn id="6" xr3:uid="{2E3A0B30-3C10-4EA0-8782-C9FC050F8779}" name="MS/ PER MATCH" dataDxfId="172">
      <calculatedColumnFormula>Tabell32[[#This Row],[MS ÅHUS IF]]/Tabell32[[#This Row],[ÅHUS MATCHER]]</calculatedColumnFormula>
    </tableColumn>
    <tableColumn id="16" xr3:uid="{763B25AB-F293-40F5-9471-436DA5EFEA23}" name="POÄNG" dataDxfId="171">
      <calculatedColumnFormula>(Tabell32[[#This Row],[VINST]]*3)+Tabell32[[#This Row],[OAVGJORT]]</calculatedColumnFormula>
    </tableColumn>
    <tableColumn id="17" xr3:uid="{E217B58A-E156-49F7-BAD6-CF9A07E4AEA9}" name="POÄNG / MATCH" dataDxfId="170">
      <calculatedColumnFormula>Tabell32[[#This Row],[POÄNG]]/Tabell32[[#This Row],[ÅHUS MATCHER]]</calculatedColumnFormula>
    </tableColumn>
    <tableColumn id="13" xr3:uid="{6EE13E52-EBA2-43C3-AE26-886DB24B74E8}" name="VINST" dataDxfId="169">
      <calculatedColumnFormula>IFERROR(Tabell32[[#This Row],[V H]]+Tabell32[[#This Row],[V B]],"0")</calculatedColumnFormula>
    </tableColumn>
    <tableColumn id="14" xr3:uid="{F634B76E-6A00-4CB0-8A5B-E236288AAC12}" name="OAVGJORT" dataDxfId="168">
      <calculatedColumnFormula>IFERROR(Tabell32[[#This Row],[O H]]+Tabell32[[#This Row],[O B]],"0")</calculatedColumnFormula>
    </tableColumn>
    <tableColumn id="15" xr3:uid="{08879F23-86CB-4C01-8B90-C9E0C12477BF}" name="FÖRLUST" dataDxfId="167">
      <calculatedColumnFormula>IFERROR(Tabell32[[#This Row],[F H]]+Tabell32[[#This Row],[F B]],"0")</calculatedColumnFormula>
    </tableColumn>
    <tableColumn id="7" xr3:uid="{DE3131B8-C43F-4DCB-8B7E-D3EEFD25C5F8}" name="V H" dataDxfId="166">
      <calculatedColumnFormula>SUMIF(MATCHHISTORIK[BORTALAG],Tabell32[[#This Row],[MOTSTÅNDARE]],MATCHHISTORIK[V])</calculatedColumnFormula>
    </tableColumn>
    <tableColumn id="8" xr3:uid="{220DEBAA-35D0-4A9F-8DDE-E0D679F8DE77}" name="O H" dataDxfId="165">
      <calculatedColumnFormula>SUMIF(MATCHHISTORIK[BORTALAG],Tabell32[[#This Row],[MOTSTÅNDARE]],MATCHHISTORIK[O])</calculatedColumnFormula>
    </tableColumn>
    <tableColumn id="9" xr3:uid="{B67228B0-8DBB-4B37-94CF-5A99F92DAD8D}" name="F H" dataDxfId="164">
      <calculatedColumnFormula>SUMIF(MATCHHISTORIK[BORTALAG],Tabell32[[#This Row],[MOTSTÅNDARE]],MATCHHISTORIK[F])</calculatedColumnFormula>
    </tableColumn>
    <tableColumn id="10" xr3:uid="{AD8BF423-9FB7-4DF7-A875-997402A72C12}" name="V B" dataDxfId="163">
      <calculatedColumnFormula>SUMIF(MATCHHISTORIK[HEMMALAG],Tabell32[[#This Row],[MOTSTÅNDARE]],MATCHHISTORIK[V])</calculatedColumnFormula>
    </tableColumn>
    <tableColumn id="11" xr3:uid="{8B6C6814-F66F-4D82-8D3F-2FDE2461CE61}" name="O B" dataDxfId="162">
      <calculatedColumnFormula>SUMIF(MATCHHISTORIK[HEMMALAG],Tabell32[[#This Row],[MOTSTÅNDARE]],MATCHHISTORIK[O])</calculatedColumnFormula>
    </tableColumn>
    <tableColumn id="12" xr3:uid="{2214A098-994C-46EE-AFAE-7F59DE7D4C6A}" name="F B" dataDxfId="161">
      <calculatedColumnFormula>SUMIF(MATCHHISTORIK[HEMMALAG],Tabell32[[#This Row],[MOTSTÅNDARE]],MATCHHISTORIK[F])</calculatedColumnFormula>
    </tableColumn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00E0DF3-3E9B-4F77-A299-DCF9B4BFED96}" name="Tabell26" displayName="Tabell26" ref="A203:U219" totalsRowShown="0" headerRowDxfId="160" dataDxfId="159" tableBorderDxfId="158">
  <autoFilter ref="A203:U219" xr:uid="{C00E0DF3-3E9B-4F77-A299-DCF9B4BFED96}"/>
  <tableColumns count="21">
    <tableColumn id="1" xr3:uid="{3C604887-4D4E-4ACD-8C6B-686965276F7C}" name="ÅR" dataDxfId="157"/>
    <tableColumn id="2" xr3:uid="{5D1259BA-6D64-4EEB-83F8-F8B712BB6FA2}" name="DIV" dataDxfId="156"/>
    <tableColumn id="3" xr3:uid="{8060BEC3-C2DC-47C8-B5DD-01B122436798}" name="PLAC" dataDxfId="155"/>
    <tableColumn id="4" xr3:uid="{168E7741-C29A-4662-BF73-1DEA4BB59C64}" name="LAG" dataDxfId="154"/>
    <tableColumn id="5" xr3:uid="{ED6DC525-5A0E-4D63-A069-50D94DBF3819}" name="S" dataDxfId="153"/>
    <tableColumn id="6" xr3:uid="{FF2CD543-18B8-4EA8-B333-6D412A1A5B16}" name="V" dataDxfId="152"/>
    <tableColumn id="7" xr3:uid="{FC7A3C28-C05C-4779-B7AB-9A07D19A729F}" name="O" dataDxfId="151"/>
    <tableColumn id="8" xr3:uid="{70473FFE-577D-4909-8663-B26D88A6B939}" name="F" dataDxfId="150"/>
    <tableColumn id="9" xr3:uid="{70518B5A-102C-45CD-BEFC-CE568A4A5957}" name="GM" dataDxfId="149"/>
    <tableColumn id="10" xr3:uid="{4B1E9F92-E732-44D8-B740-F32E85F8ABF2}" name="IM" dataDxfId="148"/>
    <tableColumn id="11" xr3:uid="{F42C6833-3AA9-4165-AD66-2A8ED3D7AE6B}" name="MS" dataDxfId="147"/>
    <tableColumn id="12" xr3:uid="{24A73919-28FC-4829-ACF1-E670138558C3}" name="P" dataDxfId="146"/>
    <tableColumn id="13" xr3:uid="{0004BCB4-A267-4FCD-9E07-E55A59C149D0}" name="." dataDxfId="145"/>
    <tableColumn id="14" xr3:uid="{AF6EB6F5-E4D9-4614-B568-A5A0A8D55AC0}" name="GM/M" dataDxfId="144"/>
    <tableColumn id="15" xr3:uid="{049B5FEE-7BC3-4944-928A-7ACCD1BA517F}" name="IM/M" dataDxfId="143"/>
    <tableColumn id="16" xr3:uid="{97BF0F58-2F2D-403C-B412-661E59CC7E24}" name="MS/M" dataDxfId="142"/>
    <tableColumn id="17" xr3:uid="{892EC535-CC25-4615-A527-3217A06ABD7B}" name="P/M" dataDxfId="141"/>
    <tableColumn id="18" xr3:uid="{6C9DFE87-AF51-45F3-9AC8-E81DBB1317E3}" name="," dataDxfId="140">
      <calculatedColumnFormula>Tabell26[[#This Row],[ÅR]]</calculatedColumnFormula>
    </tableColumn>
    <tableColumn id="19" xr3:uid="{773C18D7-4A28-4471-8175-B5E12309EAA2}" name="V%" dataDxfId="139">
      <calculatedColumnFormula>Tabell26[[#This Row],[V]]/Tabell26[[#This Row],[S]]</calculatedColumnFormula>
    </tableColumn>
    <tableColumn id="20" xr3:uid="{EFF3B818-154F-4878-9B05-A9F00F25BC6B}" name="O%" dataDxfId="138">
      <calculatedColumnFormula>Tabell26[[#This Row],[O]]/Tabell26[[#This Row],[S]]</calculatedColumnFormula>
    </tableColumn>
    <tableColumn id="21" xr3:uid="{65172B5E-4A71-4C5F-BB41-01825CA34E69}" name="F%" dataDxfId="137">
      <calculatedColumnFormula>Tabell26[[#This Row],[F]]/Tabell26[[#This Row],[S]]</calculatedColumnFormula>
    </tableColumn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DB4788B-698B-403B-9545-85AE4F1973BC}" name="Tabell27" displayName="Tabell27" ref="A12:M53" totalsRowShown="0" headerRowDxfId="136" dataDxfId="135">
  <autoFilter ref="A12:M53" xr:uid="{BDB4788B-698B-403B-9545-85AE4F1973BC}"/>
  <sortState xmlns:xlrd2="http://schemas.microsoft.com/office/spreadsheetml/2017/richdata2" ref="A13:M53">
    <sortCondition descending="1" ref="A12:A53"/>
  </sortState>
  <tableColumns count="13">
    <tableColumn id="1" xr3:uid="{CBACA70E-221B-4646-9F64-077BD20DA10F}" name="ÅR" dataDxfId="134"/>
    <tableColumn id="2" xr3:uid="{6A457C41-64E2-4930-BE66-A6ADAB1489C4}" name="Namn" dataDxfId="133"/>
    <tableColumn id="3" xr3:uid="{3BAD0037-7547-42A5-ABF5-ADA08A9E0417}" name="MAT" dataDxfId="132"/>
    <tableColumn id="4" xr3:uid="{9B15B8F4-1C1D-4E13-8E66-0083327FA351}" name="MAT %" dataDxfId="131"/>
    <tableColumn id="5" xr3:uid="{E07D977F-6800-45D7-9C1B-ED53059940A9}" name="VAR" dataDxfId="130"/>
    <tableColumn id="6" xr3:uid="{0FE9CEEA-262E-4CB1-BD53-57238FAB1F98}" name="UTV" dataDxfId="129"/>
    <tableColumn id="7" xr3:uid="{DE398258-386A-42A1-BE3A-3B29BC5B1503}" name="MÅL" dataDxfId="128"/>
    <tableColumn id="8" xr3:uid="{61A0A1AD-D6D2-467F-91B9-5D13843AEC61}" name="LAG MATCH" dataDxfId="127"/>
    <tableColumn id="9" xr3:uid="{5AA7025C-FF77-4C0E-A9C7-DBB4B17654D4}" name="MÅL/MATCH" dataDxfId="126"/>
    <tableColumn id="10" xr3:uid="{C1C7DD71-E6B0-4DDD-BF0B-ACCC292F2B21}" name="SENASTE" dataDxfId="125"/>
    <tableColumn id="11" xr3:uid="{C908A414-F396-4ED3-AB5B-A6D5858C7A34}" name="FÖDD" dataDxfId="124"/>
    <tableColumn id="12" xr3:uid="{BA179773-7AF9-4227-AFF5-514D613517F1}" name="ÅLDER" dataDxfId="123"/>
    <tableColumn id="13" xr3:uid="{5F828F37-8D05-4C8D-BCEC-A75942E9165B}" name="DIVISION" dataDxfId="122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A50C70-23C9-46A0-854B-4E6097FD9D38}" name="Tabell3" displayName="Tabell3" ref="O12:R48" totalsRowShown="0" headerRowDxfId="121">
  <autoFilter ref="O12:R48" xr:uid="{3EA50C70-23C9-46A0-854B-4E6097FD9D38}"/>
  <sortState xmlns:xlrd2="http://schemas.microsoft.com/office/spreadsheetml/2017/richdata2" ref="O13:Q48">
    <sortCondition descending="1" ref="Q12:Q48"/>
  </sortState>
  <tableColumns count="4">
    <tableColumn id="1" xr3:uid="{D2DF2E33-EFA5-4826-AC1B-166E9B810BAC}" name="Namn"/>
    <tableColumn id="2" xr3:uid="{0F20E9A7-8F0D-49F7-9141-CD7B5F6E3C49}" name="SÄSONGER" dataDxfId="120">
      <calculatedColumnFormula>_xlfn.XLOOKUP(Tabell3[[#This Row],[Namn]],Tabell4[Namn],Tabell4[SÄS])</calculatedColumnFormula>
    </tableColumn>
    <tableColumn id="3" xr3:uid="{E900B7C1-C844-499A-845E-AE7DF999E108}" name="100% SÄS" dataDxfId="119">
      <calculatedColumnFormula>COUNTIF(Tabell27[Namn],Tabell3[[#This Row],[Namn]])</calculatedColumnFormula>
    </tableColumn>
    <tableColumn id="4" xr3:uid="{15B86BA7-0499-4E45-9DCD-31055F4B1A35}" name="ANDEL 100%" dataDxfId="118" dataCellStyle="Procent">
      <calculatedColumnFormula>Tabell3[[#This Row],[100% SÄS]]/Tabell3[[#This Row],[SÄSONGER]]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F1C64B4-A848-4124-BCA6-BF662FBC132E}" name="Tabell12" displayName="Tabell12" ref="T12:U27" totalsRowShown="0" headerRowDxfId="117">
  <autoFilter ref="T12:U27" xr:uid="{8F1C64B4-A848-4124-BCA6-BF662FBC132E}"/>
  <tableColumns count="2">
    <tableColumn id="1" xr3:uid="{E8E745CD-7F56-4FF8-890F-F360A89B2918}" name="ÅR" dataDxfId="116"/>
    <tableColumn id="2" xr3:uid="{ECFBE387-004B-4461-9240-79E9C599916B}" name="ANTAL" dataDxfId="115">
      <calculatedColumnFormula>COUNTIF(Tabell27[ÅR],Tabell12[[#This Row],[ÅR]])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429BF26-534E-41D5-85BD-A4F2C20E0171}" name="Tabell14" displayName="Tabell14" ref="A1:M181" totalsRowShown="0">
  <autoFilter ref="A1:M181" xr:uid="{8429BF26-534E-41D5-85BD-A4F2C20E0171}"/>
  <tableColumns count="13">
    <tableColumn id="1" xr3:uid="{BF55B59A-70E0-4D08-91F1-EDCB52B37378}" name="ÅR"/>
    <tableColumn id="2" xr3:uid="{569C77AA-4C6D-4528-A08E-803779090FA6}" name="Namn"/>
    <tableColumn id="3" xr3:uid="{C2066D83-A5BF-4311-BD2E-D711C982E922}" name="MAT"/>
    <tableColumn id="4" xr3:uid="{3F6F981D-ACA0-4D94-8573-18C09888585B}" name="MAT %"/>
    <tableColumn id="5" xr3:uid="{712A1C66-CE29-4BF6-9611-99D304CE1D24}" name="VAR"/>
    <tableColumn id="6" xr3:uid="{CB9AFC57-6A64-4D3D-A83A-0B4D427216BC}" name="UTV"/>
    <tableColumn id="7" xr3:uid="{EAFF65CF-7EAD-4412-8E7A-2C8B10597A79}" name="MÅL"/>
    <tableColumn id="8" xr3:uid="{435F5CFA-AA2A-42E2-9A1E-10409B4749FA}" name="LAG MATCH"/>
    <tableColumn id="9" xr3:uid="{632BD9EF-9B4A-43DC-A56F-8DF80C56961C}" name="MÅL/MATCH"/>
    <tableColumn id="10" xr3:uid="{C1B5BFB9-AA80-4BA2-B224-D10D1C92A32D}" name="SENASTE"/>
    <tableColumn id="11" xr3:uid="{5FACEAA8-4A82-45D4-893B-6D64AAAB5447}" name="FÖDD"/>
    <tableColumn id="12" xr3:uid="{C1355440-A6F3-44F0-AC80-E1A016A05646}" name="ÅLDER"/>
    <tableColumn id="13" xr3:uid="{F54EE003-2AB7-4403-AFB2-78DA4DDA2F7F}" name="DIVISION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5A3441D-3D18-4F3D-8C75-51636A85945E}" name="Tabell15" displayName="Tabell15" ref="Q1:AA83" totalsRowShown="0" headerRowDxfId="108">
  <autoFilter ref="Q1:AA83" xr:uid="{65A3441D-3D18-4F3D-8C75-51636A85945E}"/>
  <sortState xmlns:xlrd2="http://schemas.microsoft.com/office/spreadsheetml/2017/richdata2" ref="Q2:AA83">
    <sortCondition descending="1" ref="T1:T83"/>
  </sortState>
  <tableColumns count="11">
    <tableColumn id="1" xr3:uid="{625BBCCB-01F8-4635-B3F3-4DE762652BF2}" name="Namn"/>
    <tableColumn id="2" xr3:uid="{688514C7-F7B3-4933-8C46-EFDCC6F4B1A8}" name="MAT" dataDxfId="107">
      <calculatedColumnFormula>SUMIF(B:B,Tabell15[[#This Row],[Namn]],C:C)</calculatedColumnFormula>
    </tableColumn>
    <tableColumn id="7" xr3:uid="{77D26939-20A6-40C6-A379-2218DA013659}" name="MAT %" dataDxfId="106">
      <calculatedColumnFormula>Tabell15[[#This Row],[MAT]]/Tabell15[[#This Row],[LAG MATCH]]</calculatedColumnFormula>
    </tableColumn>
    <tableColumn id="3" xr3:uid="{33E67B83-C64B-4BFE-9E66-EA13CE9A347D}" name="VAR" dataDxfId="105">
      <calculatedColumnFormula>SUMIF(B:B,Tabell15[[#This Row],[Namn]],E:E)</calculatedColumnFormula>
    </tableColumn>
    <tableColumn id="4" xr3:uid="{379AD113-98EB-4D15-ABAB-485C93E51280}" name="UTV" dataDxfId="104">
      <calculatedColumnFormula>SUMIF(B:B,Tabell15[[#This Row],[Namn]],F:F)</calculatedColumnFormula>
    </tableColumn>
    <tableColumn id="5" xr3:uid="{75F20D58-E53B-4503-BA03-C26D20CCAC93}" name="MÅL" dataDxfId="103">
      <calculatedColumnFormula>SUMIF(B:B,Tabell15[[#This Row],[Namn]],G:G)</calculatedColumnFormula>
    </tableColumn>
    <tableColumn id="6" xr3:uid="{08EC75D8-2EAC-4C55-9DBF-3BABDB6031C2}" name="LAG MATCH" dataDxfId="102">
      <calculatedColumnFormula>SUMIF(B:B,Tabell15[[#This Row],[Namn]],H:H)</calculatedColumnFormula>
    </tableColumn>
    <tableColumn id="8" xr3:uid="{A6DE9092-52A0-44FE-A005-79C69BAF132F}" name="RANK MAT" dataDxfId="101">
      <calculatedColumnFormula>RANK(Tabell15[[#This Row],[MAT]],R:R)</calculatedColumnFormula>
    </tableColumn>
    <tableColumn id="9" xr3:uid="{5162B2FB-1B01-471E-9A67-65E6F723B998}" name="RANK MÅL" dataDxfId="100">
      <calculatedColumnFormula>RANK(Tabell15[[#This Row],[MÅL]],V:V)</calculatedColumnFormula>
    </tableColumn>
    <tableColumn id="10" xr3:uid="{8C499129-6C39-4946-9C76-EE2ACB3BBCED}" name="RANK GK" dataDxfId="99">
      <calculatedColumnFormula>RANK(Tabell15[[#This Row],[VAR]],T:T)</calculatedColumnFormula>
    </tableColumn>
    <tableColumn id="11" xr3:uid="{209FD9A5-67E8-47E2-91EE-F6C9BE0FEA12}" name="SENAST" dataDxfId="98">
      <calculatedColumnFormula>VLOOKUP(Tabell15[[#This Row],[Namn]],Tabell4[[Namn]:[SENASTE]],6,0)</calculatedColumnFormula>
    </tableColumn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7D786C5-39D7-46DC-A3E2-96C96A7749E2}" name="Tabell11" displayName="Tabell11" ref="A1:Q17" totalsRowShown="0" headerRowDxfId="97" dataDxfId="96">
  <autoFilter ref="A1:Q17" xr:uid="{C7D786C5-39D7-46DC-A3E2-96C96A7749E2}"/>
  <tableColumns count="17">
    <tableColumn id="1" xr3:uid="{0B2586CD-A1C8-472A-AF00-91376694244A}" name="ÅR" dataDxfId="95"/>
    <tableColumn id="2" xr3:uid="{79295190-2AEA-46DE-A87A-9A0534777803}" name="SERIE" dataDxfId="94"/>
    <tableColumn id="17" xr3:uid="{225AFD21-F708-4411-9416-4957AE8E484A}" name="DIV" dataDxfId="93"/>
    <tableColumn id="3" xr3:uid="{45F3F80F-7757-4D46-8214-0CB5EEA44BC3}" name="PLAC" dataDxfId="92"/>
    <tableColumn id="4" xr3:uid="{42FB554D-3839-4A72-B7A8-AC9B34B366FD}" name="S" dataDxfId="91"/>
    <tableColumn id="5" xr3:uid="{E35A4E1F-E106-4C52-ADF1-FEFF6D2140BC}" name="V" dataDxfId="90"/>
    <tableColumn id="6" xr3:uid="{5C189FF1-5D44-471F-A286-161027441B15}" name="O" dataDxfId="89"/>
    <tableColumn id="7" xr3:uid="{06D24F9B-E5A1-4C65-A13A-47778ECF43A0}" name="F" dataDxfId="88"/>
    <tableColumn id="8" xr3:uid="{CAE34A55-A11D-4653-B8C6-38CA66D35278}" name="GM" dataDxfId="87"/>
    <tableColumn id="9" xr3:uid="{6E3B02E3-2F94-4D40-915F-FF7B506CAA45}" name="IM" dataDxfId="86"/>
    <tableColumn id="10" xr3:uid="{05456298-8420-451D-8BA9-11F19AACE38C}" name="MS" dataDxfId="85"/>
    <tableColumn id="11" xr3:uid="{D7C8AE9A-AD8D-4153-8D7C-9224B7E1FD6E}" name="P" dataDxfId="84"/>
    <tableColumn id="12" xr3:uid="{7A059DFB-3312-4237-AE9D-A91C1280867A}" name="." dataDxfId="83"/>
    <tableColumn id="13" xr3:uid="{0ECFC3A3-E879-4197-849D-AF6745E142EC}" name="GM/M" dataDxfId="82"/>
    <tableColumn id="14" xr3:uid="{DBC48538-0849-4BCE-9CAB-0EC55C74A8E5}" name="IM/M" dataDxfId="81"/>
    <tableColumn id="15" xr3:uid="{14ACB421-F909-4FAA-80DD-7F726E635F4B}" name="MS/M" dataDxfId="80"/>
    <tableColumn id="16" xr3:uid="{958DD0D1-B3BB-4132-BAE6-925289FFEE63}" name="P/M" dataDxfId="7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E5D0E65-E654-46F8-B82A-FB21CF494E9D}" name="Tabell13" displayName="Tabell13" ref="J13:Q80" totalsRowShown="0" headerRowDxfId="63" dataDxfId="62">
  <autoFilter ref="J13:Q80" xr:uid="{FE5D0E65-E654-46F8-B82A-FB21CF494E9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J14:Q80">
    <sortCondition ref="P14:P80"/>
    <sortCondition descending="1" ref="L14:L80"/>
    <sortCondition descending="1" ref="O14:O80"/>
  </sortState>
  <tableColumns count="8">
    <tableColumn id="1" xr3:uid="{80958B06-E9CE-4739-B0E2-44F932DCC732}" name="ÅR" dataDxfId="61"/>
    <tableColumn id="2" xr3:uid="{6E283CDD-336B-414B-AAF6-38AAD6786203}" name="Namn" dataDxfId="59"/>
    <tableColumn id="3" xr3:uid="{5D4349CF-8B67-4E05-B169-DBC0097A2781}" name="MAT" dataDxfId="60"/>
    <tableColumn id="4" xr3:uid="{FAD46BE9-68A8-4ED5-A55B-44B2470A20E3}" name="VAR" dataDxfId="68"/>
    <tableColumn id="5" xr3:uid="{03CFAE1A-8E1B-4029-B16F-520D7D12F23C}" name="UTV" dataDxfId="67"/>
    <tableColumn id="6" xr3:uid="{14F96C0A-F663-4AE8-BEF4-36773EE14D7A}" name="MÅL" dataDxfId="66"/>
    <tableColumn id="7" xr3:uid="{B2BC7192-BD41-4E0D-8797-2B14AEB48B03}" name="ÅLDER" dataDxfId="65"/>
    <tableColumn id="8" xr3:uid="{580D8A4C-CFA9-42E7-A11C-C4059E5B107E}" name="DIVISION" dataDxfId="6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6F50FEC-36AA-4BCE-BC0A-A09D02F9D073}" name="Tabell17" displayName="Tabell17" ref="S13:Z31" totalsRowShown="0" headerRowDxfId="53" dataDxfId="52">
  <autoFilter ref="S13:Z31" xr:uid="{A6F50FEC-36AA-4BCE-BC0A-A09D02F9D0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S14:Z31">
    <sortCondition descending="1" ref="Y14:Y31"/>
    <sortCondition descending="1" ref="X14:X31"/>
  </sortState>
  <tableColumns count="8">
    <tableColumn id="1" xr3:uid="{AA32E324-A098-470C-B015-735707175249}" name="ÅR" dataDxfId="51"/>
    <tableColumn id="2" xr3:uid="{A2A66308-F2C2-4016-9AB0-68A980DD4EE6}" name="Namn" dataDxfId="49"/>
    <tableColumn id="3" xr3:uid="{500BEA57-0E26-4CA6-AD07-135E611F6098}" name="MAT" dataDxfId="50"/>
    <tableColumn id="4" xr3:uid="{F37429AF-F35D-4EA7-A03A-50A05A33136C}" name="VAR" dataDxfId="58"/>
    <tableColumn id="5" xr3:uid="{40677C1A-0BCE-4DC7-A4CA-FC06D110D547}" name="UTV" dataDxfId="57"/>
    <tableColumn id="6" xr3:uid="{22B56A63-34E9-4641-B871-FF18C712B2B8}" name="MÅL" dataDxfId="56"/>
    <tableColumn id="7" xr3:uid="{094E06B1-7D37-4CE6-AE78-24AA146031FF}" name="ÅLDER" dataDxfId="55"/>
    <tableColumn id="8" xr3:uid="{676B6E44-8AD7-44D1-82C2-FBBCBAE38C2A}" name="DIVISION" dataDxfId="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B82CBEC-B3BA-4523-9DF7-95C430029EB1}" name="Tabell18" displayName="Tabell18" ref="AB13:AI47" totalsRowShown="0" headerRowDxfId="43" dataDxfId="42">
  <autoFilter ref="AB13:AI47" xr:uid="{FB82CBEC-B3BA-4523-9DF7-95C430029E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B14:AI47">
    <sortCondition descending="1" ref="AH14:AH47"/>
    <sortCondition descending="1" ref="AD14:AD47"/>
  </sortState>
  <tableColumns count="8">
    <tableColumn id="1" xr3:uid="{4ACF6E45-52DF-4271-B50D-B3323C4D0CE0}" name="ÅR" dataDxfId="41"/>
    <tableColumn id="2" xr3:uid="{17F08221-C0F4-42D3-9E95-CD2F0B1342CA}" name="Namn" dataDxfId="39"/>
    <tableColumn id="3" xr3:uid="{799A500C-AE25-4FC3-9DDC-1794BD053DA6}" name="MAT" dataDxfId="40"/>
    <tableColumn id="4" xr3:uid="{A1048E1E-CC83-43E3-9807-2080ECB62800}" name="VAR" dataDxfId="48"/>
    <tableColumn id="5" xr3:uid="{6CDCF4C6-72EC-445B-8608-2DDFF79B976B}" name="UTV" dataDxfId="47"/>
    <tableColumn id="6" xr3:uid="{E9445DFC-CDF9-4B4C-8F02-2C0F984E28EA}" name="MÅL" dataDxfId="46"/>
    <tableColumn id="7" xr3:uid="{60755572-E64E-4678-8F89-5149C3934481}" name="ÅLDER" dataDxfId="45"/>
    <tableColumn id="8" xr3:uid="{8AE5ACAE-EBC2-407E-B3C8-A70029CCB934}" name="DIVISION" dataDxfId="4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845782-3D23-4AAF-BDF1-F19FA8FF8D23}" name="Table1" displayName="Table1" ref="A19:R463" totalsRowShown="0" headerRowDxfId="318" dataDxfId="317">
  <autoFilter ref="A19:R463" xr:uid="{DA845782-3D23-4AAF-BDF1-F19FA8FF8D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sortState xmlns:xlrd2="http://schemas.microsoft.com/office/spreadsheetml/2017/richdata2" ref="A20:R463">
    <sortCondition descending="1" ref="A20:A463"/>
    <sortCondition descending="1" ref="C20:C463"/>
    <sortCondition descending="1" ref="G20:G463"/>
  </sortState>
  <tableColumns count="18">
    <tableColumn id="1" xr3:uid="{D5FE9BFB-5CB7-463C-BEC9-CB073C4051B2}" name="ÅR" dataDxfId="316"/>
    <tableColumn id="3" xr3:uid="{BC86D571-880C-4B25-A661-84DFA2E34273}" name="Namn" dataDxfId="315"/>
    <tableColumn id="4" xr3:uid="{30F1B544-7CFE-4F57-AB1D-5007E42A16DF}" name="MAT" dataDxfId="314"/>
    <tableColumn id="5" xr3:uid="{8F2C86DF-FE22-4AD7-8E51-207DDDC22C38}" name="MAT %" dataDxfId="313">
      <calculatedColumnFormula>IFERROR(Table1[[#This Row],[MAT]]/Table1[[#This Row],[LAG MATCH]],"")</calculatedColumnFormula>
    </tableColumn>
    <tableColumn id="6" xr3:uid="{008653D3-B5B7-4239-82FB-498898D4E175}" name="VAR" dataDxfId="312"/>
    <tableColumn id="7" xr3:uid="{3D6913E9-1CC9-4EEA-B616-164D39F41D79}" name="UTV" dataDxfId="311"/>
    <tableColumn id="8" xr3:uid="{088C5E50-AEFB-4A25-B7C2-6BBB17AD74DB}" name="MÅL" dataDxfId="310"/>
    <tableColumn id="9" xr3:uid="{CF0181BE-E693-424E-BFCC-3D2659F2E309}" name="LAG MATCH" dataDxfId="309"/>
    <tableColumn id="10" xr3:uid="{4D5B091A-2F6E-4FDA-BB36-8043F260746F}" name="MÅL/MATCH" dataDxfId="308">
      <calculatedColumnFormula>IFERROR(G20/C20,"")</calculatedColumnFormula>
    </tableColumn>
    <tableColumn id="11" xr3:uid="{BDA12C12-DA5A-4A29-B8A5-8EB96264DDEF}" name="SENASTE" dataDxfId="307">
      <calculatedColumnFormula>Table1[[#This Row],[ÅR]]</calculatedColumnFormula>
    </tableColumn>
    <tableColumn id="2" xr3:uid="{14AAD8EE-2FC9-4FD1-B4BD-86B5562DC8C9}" name="FÖDD" dataDxfId="306"/>
    <tableColumn id="12" xr3:uid="{799EE1C1-B6C3-4808-9608-632F2333D80D}" name="ÅLDER" dataDxfId="305">
      <calculatedColumnFormula>Table1[[#This Row],[SENASTE]]-Table1[[#This Row],[FÖDD]]</calculatedColumnFormula>
    </tableColumn>
    <tableColumn id="13" xr3:uid="{2896F7CB-0FAC-4ADF-9CD4-926C977D0014}" name="DIVISION" dataDxfId="304"/>
    <tableColumn id="14" xr3:uid="{F7C17AF5-DE83-4E10-88B1-AC8EF5F8A341}" name="A-LAGS MATCHER" dataDxfId="303">
      <calculatedColumnFormula>SUMIF(B:B,Table1[[#This Row],[Namn]],C:C)</calculatedColumnFormula>
    </tableColumn>
    <tableColumn id="15" xr3:uid="{DC993816-8049-4B4F-8830-15F61926BA83}" name="SÄSONGER" dataDxfId="302">
      <calculatedColumnFormula>COUNTIF(B:B,Table1[[#This Row],[Namn]])</calculatedColumnFormula>
    </tableColumn>
    <tableColumn id="16" xr3:uid="{3BF20046-40EE-49F8-B424-5FF24AC58F0E}" name="MÅL TOTALT" dataDxfId="301">
      <calculatedColumnFormula>SUMIF(B:B,Table1[[#This Row],[Namn]],G:G)</calculatedColumnFormula>
    </tableColumn>
    <tableColumn id="17" xr3:uid="{FC99B07A-EBAB-4791-9F62-DA4EA66F341E}" name="VAR TOTALT" dataDxfId="300">
      <calculatedColumnFormula>SUMIF(B:B,Table1[[#This Row],[Namn]],E:E)</calculatedColumnFormula>
    </tableColumn>
    <tableColumn id="18" xr3:uid="{D860BF6F-E645-4956-8A6B-CFD2809722AD}" name="UTV TOTALT" dataDxfId="299">
      <calculatedColumnFormula>SUMIF(B:B,Table1[[#This Row],[Namn]],F:F)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67446C-C7B0-46CA-A99D-822874F0D86C}" name="Tabell16" displayName="Tabell16" ref="T19:Y41" totalsRowShown="0" headerRowDxfId="298" dataDxfId="297">
  <autoFilter ref="T19:Y41" xr:uid="{1967446C-C7B0-46CA-A99D-822874F0D86C}"/>
  <tableColumns count="6">
    <tableColumn id="1" xr3:uid="{FE0228BD-CA1B-4AAC-82CC-A139BFF4E4AC}" name="Namn" dataDxfId="296"/>
    <tableColumn id="2" xr3:uid="{2E1E1586-FBE1-4878-B42B-5A73A8746D57}" name="MAT" dataDxfId="295">
      <calculatedColumnFormula>Tabell16[[#This Row],[X]]+Tabell16[[#This Row],[TRUPP]]</calculatedColumnFormula>
    </tableColumn>
    <tableColumn id="3" xr3:uid="{47FD61BC-9E52-4A38-B357-D9484D1C18F3}" name="TOTALT" dataDxfId="294">
      <calculatedColumnFormula>SUMIF(Table1[Namn],Tabell16[[#This Row],[Namn]],Table1[MAT])</calculatedColumnFormula>
    </tableColumn>
    <tableColumn id="4" xr3:uid="{12465E31-FF34-42A1-BA7E-4E062AB74301}" name="TRUPP" dataDxfId="293"/>
    <tableColumn id="5" xr3:uid="{DAD8A19F-75EE-450F-87FA-EFD708439420}" name="X" dataDxfId="292"/>
    <tableColumn id="6" xr3:uid="{099AEB1A-3CE6-4C55-9BBE-09799600D639}" name="MÅL" dataDxfId="29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7EECA61-8D73-4876-AA0B-FDEF5B24EE18}" name="Tabell6" displayName="Tabell6" ref="AS1:AW18" totalsRowShown="0" headerRowDxfId="290" dataDxfId="289">
  <autoFilter ref="AS1:AW18" xr:uid="{D7EECA61-8D73-4876-AA0B-FDEF5B24EE18}"/>
  <tableColumns count="5">
    <tableColumn id="1" xr3:uid="{A9E31809-29BB-4E82-AEF3-29BF88DFBC44}" name="ÅR" dataDxfId="288"/>
    <tableColumn id="2" xr3:uid="{C2059C56-D7E3-485D-914F-0BECEFAFDAB9}" name="ANTAL SPELARE" dataDxfId="287"/>
    <tableColumn id="3" xr3:uid="{7323364C-B1B8-454D-985B-1E5AF9BA388A}" name="SNITTÅLDER" dataDxfId="286"/>
    <tableColumn id="9" xr3:uid="{B4F8ACA8-8BAD-43FD-957F-1D6311D55542}" name="ANTAL 100%" dataDxfId="285">
      <calculatedColumnFormula>COUNTIF('100%'!A:A,Tabell6[[#This Row],[ÅR]])</calculatedColumnFormula>
    </tableColumn>
    <tableColumn id="4" xr3:uid="{E5F180ED-326F-4ACE-B066-CED12B0C87B2}" name="SUMMA ÅR" dataDxfId="284">
      <calculatedColumnFormula>SUMIF(A:A,Tabell6[[#This Row],[ÅR]],L:L)</calculatedColumnFormula>
    </tableColumn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EA541B-37A8-4EE6-A9EE-F32D8B5C3E89}" name="Tabell4" displayName="Tabell4" ref="A14:Y201" totalsRowShown="0" headerRowDxfId="283" dataDxfId="282">
  <autoFilter ref="A14:Y201" xr:uid="{ABEA541B-37A8-4EE6-A9EE-F32D8B5C3E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sortState xmlns:xlrd2="http://schemas.microsoft.com/office/spreadsheetml/2017/richdata2" ref="A15:Y201">
    <sortCondition descending="1" ref="C15:C201"/>
    <sortCondition descending="1" ref="G15:G201"/>
    <sortCondition descending="1" ref="F15:F201"/>
  </sortState>
  <tableColumns count="25">
    <tableColumn id="15" xr3:uid="{41CE82B4-4D68-4A22-AC78-864F73D55675}" name="PL M" dataDxfId="281">
      <calculatedColumnFormula>Tabell4[[#This Row],[RANK MATCHER]]</calculatedColumnFormula>
    </tableColumn>
    <tableColumn id="1" xr3:uid="{064D939F-0616-44EB-BE2E-3D76EB156AB3}" name="Namn" dataDxfId="280"/>
    <tableColumn id="2" xr3:uid="{7C8E991B-E5A4-40C4-88E4-BEFD0A813D3B}" name="MAT" dataDxfId="279">
      <calculatedColumnFormula>SUMIF('ALLA ÅR'!B:B,Tabell4[[#This Row],[Namn]],'ALLA ÅR'!C:C)</calculatedColumnFormula>
    </tableColumn>
    <tableColumn id="3" xr3:uid="{5E145348-7C20-4E61-A454-59CFB19E9C99}" name="VAR" dataDxfId="278">
      <calculatedColumnFormula>SUMIF('ALLA ÅR'!B:B,Tabell4[[#This Row],[Namn]],'ALLA ÅR'!E:E)</calculatedColumnFormula>
    </tableColumn>
    <tableColumn id="4" xr3:uid="{1B5822B6-C2E6-473D-AD42-BAF3FCC2961A}" name="UTV" dataDxfId="277">
      <calculatedColumnFormula>SUMIF('ALLA ÅR'!B:B,Tabell4[[#This Row],[Namn]],'ALLA ÅR'!F:F)</calculatedColumnFormula>
    </tableColumn>
    <tableColumn id="5" xr3:uid="{919BFC33-9F33-4F92-BC68-1BB569CCFD36}" name="MÅL" dataDxfId="276">
      <calculatedColumnFormula>SUMIF('ALLA ÅR'!B:B,Tabell4[[#This Row],[Namn]],'ALLA ÅR'!G:G)</calculatedColumnFormula>
    </tableColumn>
    <tableColumn id="6" xr3:uid="{70CACB69-9778-4264-9B5C-C4B15AF21450}" name="SENASTE" dataDxfId="275">
      <calculatedColumnFormula>VLOOKUP(Tabell4[[#This Row],[Namn]],'ALLA ÅR'!B:J,9,0)</calculatedColumnFormula>
    </tableColumn>
    <tableColumn id="7" xr3:uid="{F545D751-AEB8-4609-90BA-6069C78EE005}" name="SÄS" dataDxfId="274">
      <calculatedColumnFormula>COUNTIF('ALLA ÅR'!B:B,Tabell4[[#This Row],[Namn]])</calculatedColumnFormula>
    </tableColumn>
    <tableColumn id="9" xr3:uid="{4BFD1F1A-B548-4486-AB81-1A738ABF5F4C}" name="ÅLDER" dataDxfId="273">
      <calculatedColumnFormula>VLOOKUP(Tabell4[[#This Row],[Namn]],'ALLA ÅR'!B:L,11,0)</calculatedColumnFormula>
    </tableColumn>
    <tableColumn id="10" xr3:uid="{080EACA7-B722-4A14-A108-B7491720A0C6}" name="RANK MÅL" dataDxfId="272">
      <calculatedColumnFormula>RANK(Tabell4[[#This Row],[MÅL]],F:F)</calculatedColumnFormula>
    </tableColumn>
    <tableColumn id="11" xr3:uid="{4861F8EE-DF7B-40DA-9A42-2D1023B7E13A}" name="RANK VARN" dataDxfId="271">
      <calculatedColumnFormula>RANK(Tabell4[[#This Row],[VAR]],D:D)</calculatedColumnFormula>
    </tableColumn>
    <tableColumn id="12" xr3:uid="{CE3456DD-07D1-467C-8A96-CC24CC5B82A6}" name="RANK MATCHER" dataDxfId="270">
      <calculatedColumnFormula>RANK(Tabell4[[#This Row],[MAT]],C:C)</calculatedColumnFormula>
    </tableColumn>
    <tableColumn id="16" xr3:uid="{30FB276B-0555-49DC-8355-1A9D3A946F9E}" name="ANDEL MATCHER" dataDxfId="269">
      <calculatedColumnFormula>Tabell4[[#This Row],[MAT]]/Tabell4[[#This Row],[ANTAL MATCHER]]</calculatedColumnFormula>
    </tableColumn>
    <tableColumn id="17" xr3:uid="{0A977FBC-0D68-46C0-8F3B-CC4452AAF1B2}" name="ANTAL MATCHER" dataDxfId="268">
      <calculatedColumnFormula>SUMIF('ALLA ÅR'!B:B,Tabell4[[#This Row],[Namn]],'ALLA ÅR'!H:H)</calculatedColumnFormula>
    </tableColumn>
    <tableColumn id="8" xr3:uid="{D401793F-66E8-47BD-941E-7D7EE1E3234A}" name="FP" dataDxfId="267">
      <calculatedColumnFormula>(Tabell4[[#This Row],[UTV]]*2)+Tabell4[[#This Row],[VAR]]</calculatedColumnFormula>
    </tableColumn>
    <tableColumn id="14" xr3:uid="{AFDBB55D-8997-41D2-BBA1-3CC0693CA098}" name="100% Säsong" dataDxfId="266">
      <calculatedColumnFormula>COUNTIF('100%'!B:B,Tabell4[[#This Row],[Namn]])</calculatedColumnFormula>
    </tableColumn>
    <tableColumn id="13" xr3:uid="{DE4D0857-BAF0-420A-A83E-8F7CE5B0DD32}" name="DIV 1" dataDxfId="265">
      <calculatedColumnFormula>_xlfn.XLOOKUP(Tabell4[[#This Row],[Namn]],Blad3!A:A,Blad3!B:B)</calculatedColumnFormula>
    </tableColumn>
    <tableColumn id="18" xr3:uid="{F81B984E-1107-4A84-A1DA-1A3C96EB504E}" name="DIV 2" dataDxfId="264">
      <calculatedColumnFormula>_xlfn.XLOOKUP(Tabell4[[#This Row],[Namn]],Blad3!A:A,Blad3!C:C)</calculatedColumnFormula>
    </tableColumn>
    <tableColumn id="19" xr3:uid="{A868AAFA-AE34-4A38-99D0-A6DD128F039B}" name="DIV 3" dataDxfId="263">
      <calculatedColumnFormula>_xlfn.XLOOKUP(Tabell4[[#This Row],[Namn]],Blad3!A:A,Blad3!D:D)</calculatedColumnFormula>
    </tableColumn>
    <tableColumn id="20" xr3:uid="{9064AA2E-C009-4DDB-AE96-080582F4714B}" name="DIV 4" dataDxfId="262">
      <calculatedColumnFormula>_xlfn.XLOOKUP(Tabell4[[#This Row],[Namn]],Blad3!A:A,Blad3!E:E)</calculatedColumnFormula>
    </tableColumn>
    <tableColumn id="21" xr3:uid="{136BB258-53AA-4D4D-AF9C-759EDD9B5F3B}" name="RANK SÄSONGER" dataDxfId="261">
      <calculatedColumnFormula>RANK(Tabell4[[#This Row],[SÄS]],Tabell4[SÄS])</calculatedColumnFormula>
    </tableColumn>
    <tableColumn id="22" xr3:uid="{8F5E667C-8897-47C1-B129-EA8D06C57C34}" name="MÅL DIV 1" dataDxfId="260">
      <calculatedColumnFormula>_xlfn.XLOOKUP(Tabell4[[#This Row],[Namn]],Blad3!H:H,Blad3!I:I)</calculatedColumnFormula>
    </tableColumn>
    <tableColumn id="23" xr3:uid="{523084A1-8BCC-48E5-AFCB-F8A74A8CB0FE}" name="MÅL DIV 2" dataDxfId="259">
      <calculatedColumnFormula>_xlfn.XLOOKUP(Tabell4[[#This Row],[Namn]],Blad3!H:H,Blad3!J:J)</calculatedColumnFormula>
    </tableColumn>
    <tableColumn id="24" xr3:uid="{4E13634F-AE63-47BA-B9D1-5E11EAB52245}" name="MÅL DIV 3" dataDxfId="258">
      <calculatedColumnFormula>_xlfn.XLOOKUP(Tabell4[[#This Row],[Namn]],Blad3!H:H,Blad3!K:K)</calculatedColumnFormula>
    </tableColumn>
    <tableColumn id="25" xr3:uid="{F827C723-96ED-44CF-9C41-291DE243C2E3}" name="MÅL DIV 4" dataDxfId="257">
      <calculatedColumnFormula>_xlfn.XLOOKUP(Tabell4[[#This Row],[Namn]],Blad3!H:H,Blad3!L:L)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E0BEA6-CFD1-4F29-86E7-6D89DCD9C722}" name="Tabell46" displayName="Tabell46" ref="B11:T116" totalsRowShown="0" headerRowDxfId="245" dataDxfId="244">
  <autoFilter ref="B11:T116" xr:uid="{ABEA541B-37A8-4EE6-A9EE-F32D8B5C3E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sortState xmlns:xlrd2="http://schemas.microsoft.com/office/spreadsheetml/2017/richdata2" ref="B12:T116">
    <sortCondition descending="1" ref="F12:F116"/>
    <sortCondition descending="1" ref="G12:G116"/>
    <sortCondition descending="1" ref="Q12:Q116"/>
    <sortCondition descending="1" ref="R12:R116"/>
    <sortCondition descending="1" ref="S12:S116"/>
    <sortCondition descending="1" ref="T12:T116"/>
  </sortState>
  <tableColumns count="19">
    <tableColumn id="1" xr3:uid="{E4077BD7-BCC1-4A69-AE35-D0A9EBBF2314}" name="Namn" dataDxfId="243"/>
    <tableColumn id="2" xr3:uid="{64C9E252-7C54-440C-9526-C42B8973CAD1}" name="MAT" dataDxfId="242">
      <calculatedColumnFormula>SUMIF('ALLA ÅR'!B:B,Tabell46[[#This Row],[Namn]],'ALLA ÅR'!C:C)</calculatedColumnFormula>
    </tableColumn>
    <tableColumn id="3" xr3:uid="{AB25F50F-7DEE-4DE2-B319-4B1F458C8C10}" name="VAR" dataDxfId="241">
      <calculatedColumnFormula>SUMIF('ALLA ÅR'!B:B,Tabell46[[#This Row],[Namn]],'ALLA ÅR'!E:E)</calculatedColumnFormula>
    </tableColumn>
    <tableColumn id="4" xr3:uid="{C2F41015-B808-4851-9C4F-401766C92553}" name="UTV" dataDxfId="240">
      <calculatedColumnFormula>SUMIF('ALLA ÅR'!B:B,Tabell46[[#This Row],[Namn]],'ALLA ÅR'!F:F)</calculatedColumnFormula>
    </tableColumn>
    <tableColumn id="5" xr3:uid="{29FCD2FB-F630-45EC-9D51-161EDF0E37FD}" name="MÅL" dataDxfId="239">
      <calculatedColumnFormula>SUMIF('ALLA ÅR'!B:B,Tabell46[[#This Row],[Namn]],'ALLA ÅR'!G:G)</calculatedColumnFormula>
    </tableColumn>
    <tableColumn id="6" xr3:uid="{DDA2298E-0AC7-4AF2-9C0D-63851A25A6F2}" name="SENASTE" dataDxfId="238">
      <calculatedColumnFormula>VLOOKUP(Tabell46[[#This Row],[Namn]],'ALLA ÅR'!B:J,9,0)</calculatedColumnFormula>
    </tableColumn>
    <tableColumn id="7" xr3:uid="{AB235D1A-1031-4933-8235-3A35A28766E0}" name="ANTAL SÄSONGER" dataDxfId="237">
      <calculatedColumnFormula>COUNTIF('ALLA ÅR'!B:B,Tabell46[[#This Row],[Namn]])</calculatedColumnFormula>
    </tableColumn>
    <tableColumn id="9" xr3:uid="{82C75F5F-A0B2-49B6-9E40-EC46D17401A6}" name="ÅLDER" dataDxfId="236">
      <calculatedColumnFormula>VLOOKUP(Tabell46[[#This Row],[Namn]],'ALLA ÅR'!B:L,11,0)</calculatedColumnFormula>
    </tableColumn>
    <tableColumn id="10" xr3:uid="{19F529DD-31E9-4912-8E36-29A5ABF1F158}" name="RANK MÅL" dataDxfId="235">
      <calculatedColumnFormula>RANK(Tabell46[[#This Row],[MÅL]],F:F)</calculatedColumnFormula>
    </tableColumn>
    <tableColumn id="11" xr3:uid="{2599C32B-CA2A-431D-A645-9BB6AA36A904}" name="RANK VARN" dataDxfId="234">
      <calculatedColumnFormula>RANK(Tabell46[[#This Row],[VAR]],D:D)</calculatedColumnFormula>
    </tableColumn>
    <tableColumn id="12" xr3:uid="{55948034-FC2F-4890-99E4-D43B76DB135D}" name="RANK MATCHER" dataDxfId="233">
      <calculatedColumnFormula>RANK(Tabell46[[#This Row],[MAT]],C:C)</calculatedColumnFormula>
    </tableColumn>
    <tableColumn id="16" xr3:uid="{CEFB5B0D-F113-4F70-8ED6-100BE99853ED}" name="ANDEL MATCHER" dataDxfId="232">
      <calculatedColumnFormula>Tabell46[[#This Row],[MAT]]/Tabell46[[#This Row],[ANTAL MATCHER]]</calculatedColumnFormula>
    </tableColumn>
    <tableColumn id="17" xr3:uid="{889510FE-74D4-4150-9AF5-8500D8E73851}" name="ANTAL MATCHER" dataDxfId="231">
      <calculatedColumnFormula>SUMIF('ALLA ÅR'!B:B,Tabell46[[#This Row],[Namn]],'ALLA ÅR'!H:H)</calculatedColumnFormula>
    </tableColumn>
    <tableColumn id="8" xr3:uid="{95A8F1B1-366F-46A3-BDD1-233FFEDE38C8}" name="RANK ÅLDER" dataDxfId="230">
      <calculatedColumnFormula>RANK(Tabell46[[#This Row],[ÅLDER]],I:I)</calculatedColumnFormula>
    </tableColumn>
    <tableColumn id="13" xr3:uid="{DC89E721-FE66-4E5E-B5C1-F84A055CA7D3}" name="MÅL/MATCH" dataDxfId="229">
      <calculatedColumnFormula>Tabell46[[#This Row],[MÅL]]/Tabell46[[#This Row],[MAT]]</calculatedColumnFormula>
    </tableColumn>
    <tableColumn id="14" xr3:uid="{AD822DDF-A441-475D-BBDC-460DFF99C5E4}" name="DIV 1" dataDxfId="228">
      <calculatedColumnFormula>_xlfn.XLOOKUP(Tabell46[[#This Row],[Namn]],V:V,W:W)</calculatedColumnFormula>
    </tableColumn>
    <tableColumn id="15" xr3:uid="{348002A4-EAE1-4EA7-9A78-3F241CDDCBE7}" name="DIV 2" dataDxfId="227">
      <calculatedColumnFormula>_xlfn.XLOOKUP(Tabell46[[#This Row],[Namn]],V:V,X:X)</calculatedColumnFormula>
    </tableColumn>
    <tableColumn id="18" xr3:uid="{BA85F771-201D-4BA7-BE26-D940B7C42532}" name="DIV 3" dataDxfId="226">
      <calculatedColumnFormula>_xlfn.XLOOKUP(Tabell46[[#This Row],[Namn]],V:V,Y:Y)</calculatedColumnFormula>
    </tableColumn>
    <tableColumn id="19" xr3:uid="{68E3D15C-F414-4E78-8B9C-DAAD0D0B75A1}" name="DIV 4" dataDxfId="225">
      <calculatedColumnFormula>_xlfn.XLOOKUP(Tabell46[[#This Row],[Namn]],V:V,Z:Z)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microsoft.com/office/2007/relationships/slicer" Target="../slicers/slicer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Relationship Id="rId5" Type="http://schemas.microsoft.com/office/2007/relationships/slicer" Target="../slicers/slicer2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4.xml"/><Relationship Id="rId5" Type="http://schemas.openxmlformats.org/officeDocument/2006/relationships/table" Target="../tables/table9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5.xml"/><Relationship Id="rId5" Type="http://schemas.microsoft.com/office/2007/relationships/slicer" Target="../slicers/slicer5.xml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drawing" Target="../drawings/drawing7.xml"/><Relationship Id="rId5" Type="http://schemas.microsoft.com/office/2007/relationships/slicer" Target="../slicers/slicer6.xml"/><Relationship Id="rId4" Type="http://schemas.openxmlformats.org/officeDocument/2006/relationships/table" Target="../tables/table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046D-914B-4D50-8E05-D9B140604B17}">
  <dimension ref="A12:AI80"/>
  <sheetViews>
    <sheetView topLeftCell="J1" workbookViewId="0">
      <selection activeCell="AJ7" sqref="AJ7"/>
    </sheetView>
  </sheetViews>
  <sheetFormatPr defaultRowHeight="10.8" x14ac:dyDescent="0.25"/>
  <cols>
    <col min="1" max="1" width="9.140625" style="12"/>
    <col min="2" max="2" width="16" style="148" bestFit="1" customWidth="1"/>
    <col min="3" max="8" width="8.7109375" style="12" customWidth="1"/>
    <col min="9" max="10" width="9.140625" style="11"/>
    <col min="11" max="11" width="17.7109375" style="148" bestFit="1" customWidth="1"/>
    <col min="12" max="17" width="8.7109375" style="11" customWidth="1"/>
    <col min="18" max="19" width="9.140625" style="11"/>
    <col min="20" max="20" width="17.42578125" style="148" bestFit="1" customWidth="1"/>
    <col min="21" max="26" width="8.7109375" style="11" customWidth="1"/>
    <col min="27" max="28" width="9.140625" style="11"/>
    <col min="29" max="29" width="20.7109375" style="148" bestFit="1" customWidth="1"/>
    <col min="30" max="35" width="8.7109375" style="11" customWidth="1"/>
    <col min="36" max="16384" width="9.140625" style="11"/>
  </cols>
  <sheetData>
    <row r="12" spans="1:35" x14ac:dyDescent="0.25">
      <c r="A12" s="150" t="s">
        <v>431</v>
      </c>
      <c r="B12" s="150"/>
      <c r="C12" s="150"/>
      <c r="D12" s="150"/>
      <c r="E12" s="150"/>
      <c r="F12" s="150"/>
      <c r="G12" s="150"/>
      <c r="H12" s="150"/>
      <c r="J12" s="150" t="s">
        <v>432</v>
      </c>
      <c r="K12" s="150"/>
      <c r="L12" s="150"/>
      <c r="M12" s="150"/>
      <c r="N12" s="150"/>
      <c r="O12" s="150"/>
      <c r="P12" s="150"/>
      <c r="Q12" s="150"/>
      <c r="S12" s="149" t="s">
        <v>433</v>
      </c>
      <c r="T12" s="149"/>
      <c r="U12" s="149"/>
      <c r="V12" s="149"/>
      <c r="W12" s="149"/>
      <c r="X12" s="149"/>
      <c r="Y12" s="149"/>
      <c r="Z12" s="149"/>
      <c r="AB12" s="149" t="s">
        <v>434</v>
      </c>
      <c r="AC12" s="149"/>
      <c r="AD12" s="149"/>
      <c r="AE12" s="149"/>
      <c r="AF12" s="149"/>
      <c r="AG12" s="149"/>
      <c r="AH12" s="149"/>
      <c r="AI12" s="149"/>
    </row>
    <row r="13" spans="1:35" x14ac:dyDescent="0.25">
      <c r="A13" s="12" t="s">
        <v>0</v>
      </c>
      <c r="B13" s="148" t="s">
        <v>5</v>
      </c>
      <c r="C13" s="12" t="s">
        <v>6</v>
      </c>
      <c r="D13" s="12" t="s">
        <v>8</v>
      </c>
      <c r="E13" s="12" t="s">
        <v>9</v>
      </c>
      <c r="F13" s="12" t="s">
        <v>10</v>
      </c>
      <c r="G13" s="12" t="s">
        <v>15</v>
      </c>
      <c r="H13" s="12" t="s">
        <v>16</v>
      </c>
      <c r="J13" s="12" t="s">
        <v>0</v>
      </c>
      <c r="K13" s="148" t="s">
        <v>5</v>
      </c>
      <c r="L13" s="12" t="s">
        <v>6</v>
      </c>
      <c r="M13" s="12" t="s">
        <v>8</v>
      </c>
      <c r="N13" s="12" t="s">
        <v>9</v>
      </c>
      <c r="O13" s="12" t="s">
        <v>10</v>
      </c>
      <c r="P13" s="12" t="s">
        <v>15</v>
      </c>
      <c r="Q13" s="12" t="s">
        <v>16</v>
      </c>
      <c r="S13" s="12" t="s">
        <v>0</v>
      </c>
      <c r="T13" s="148" t="s">
        <v>5</v>
      </c>
      <c r="U13" s="12" t="s">
        <v>6</v>
      </c>
      <c r="V13" s="12" t="s">
        <v>8</v>
      </c>
      <c r="W13" s="12" t="s">
        <v>9</v>
      </c>
      <c r="X13" s="12" t="s">
        <v>10</v>
      </c>
      <c r="Y13" s="12" t="s">
        <v>15</v>
      </c>
      <c r="Z13" s="12" t="s">
        <v>16</v>
      </c>
      <c r="AB13" s="12" t="s">
        <v>0</v>
      </c>
      <c r="AC13" s="148" t="s">
        <v>5</v>
      </c>
      <c r="AD13" s="12" t="s">
        <v>6</v>
      </c>
      <c r="AE13" s="12" t="s">
        <v>8</v>
      </c>
      <c r="AF13" s="12" t="s">
        <v>9</v>
      </c>
      <c r="AG13" s="12" t="s">
        <v>10</v>
      </c>
      <c r="AH13" s="12" t="s">
        <v>15</v>
      </c>
      <c r="AI13" s="12" t="s">
        <v>16</v>
      </c>
    </row>
    <row r="14" spans="1:35" x14ac:dyDescent="0.25">
      <c r="A14" s="12">
        <v>2016</v>
      </c>
      <c r="B14" s="148" t="s">
        <v>36</v>
      </c>
      <c r="C14" s="12">
        <v>4</v>
      </c>
      <c r="D14" s="12">
        <v>0</v>
      </c>
      <c r="E14" s="12">
        <v>0</v>
      </c>
      <c r="F14" s="12">
        <v>6</v>
      </c>
      <c r="G14" s="12">
        <v>14</v>
      </c>
      <c r="H14" s="12">
        <v>4</v>
      </c>
      <c r="J14" s="12">
        <v>2012</v>
      </c>
      <c r="K14" s="148" t="s">
        <v>180</v>
      </c>
      <c r="L14" s="12">
        <v>1</v>
      </c>
      <c r="M14" s="12">
        <v>0</v>
      </c>
      <c r="N14" s="12">
        <v>0</v>
      </c>
      <c r="O14" s="12">
        <v>0</v>
      </c>
      <c r="P14" s="12">
        <v>13</v>
      </c>
      <c r="Q14" s="12">
        <v>4</v>
      </c>
      <c r="S14" s="12">
        <v>2022</v>
      </c>
      <c r="T14" s="148" t="s">
        <v>83</v>
      </c>
      <c r="U14" s="12">
        <v>25</v>
      </c>
      <c r="V14" s="12">
        <v>0</v>
      </c>
      <c r="W14" s="12">
        <v>0</v>
      </c>
      <c r="X14" s="12">
        <v>34</v>
      </c>
      <c r="Y14" s="12">
        <v>37</v>
      </c>
      <c r="Z14" s="12">
        <v>2</v>
      </c>
      <c r="AB14" s="12">
        <v>2014</v>
      </c>
      <c r="AC14" s="148" t="s">
        <v>168</v>
      </c>
      <c r="AD14" s="12">
        <v>15</v>
      </c>
      <c r="AE14" s="12">
        <v>1</v>
      </c>
      <c r="AF14" s="12">
        <v>0</v>
      </c>
      <c r="AG14" s="12">
        <v>0</v>
      </c>
      <c r="AH14" s="12">
        <v>45</v>
      </c>
      <c r="AI14" s="12">
        <v>4</v>
      </c>
    </row>
    <row r="15" spans="1:35" x14ac:dyDescent="0.25">
      <c r="A15" s="12">
        <v>2015</v>
      </c>
      <c r="B15" s="148" t="s">
        <v>64</v>
      </c>
      <c r="C15" s="12">
        <v>5</v>
      </c>
      <c r="D15" s="12">
        <v>0</v>
      </c>
      <c r="E15" s="12">
        <v>0</v>
      </c>
      <c r="F15" s="12">
        <v>1</v>
      </c>
      <c r="G15" s="12">
        <v>14</v>
      </c>
      <c r="H15" s="12">
        <v>4</v>
      </c>
      <c r="J15" s="12">
        <v>2015</v>
      </c>
      <c r="K15" s="148" t="s">
        <v>97</v>
      </c>
      <c r="L15" s="12">
        <v>6</v>
      </c>
      <c r="M15" s="12">
        <v>0</v>
      </c>
      <c r="N15" s="12">
        <v>0</v>
      </c>
      <c r="O15" s="12">
        <v>0</v>
      </c>
      <c r="P15" s="12">
        <v>14</v>
      </c>
      <c r="Q15" s="12">
        <v>4</v>
      </c>
      <c r="S15" s="12">
        <v>2026</v>
      </c>
      <c r="T15" s="148" t="s">
        <v>34</v>
      </c>
      <c r="U15" s="12">
        <v>4</v>
      </c>
      <c r="V15" s="12">
        <v>0</v>
      </c>
      <c r="W15" s="12">
        <v>0</v>
      </c>
      <c r="X15" s="12">
        <v>7</v>
      </c>
      <c r="Y15" s="12">
        <v>35</v>
      </c>
      <c r="Z15" s="12">
        <v>4</v>
      </c>
      <c r="AB15" s="12">
        <v>2013</v>
      </c>
      <c r="AC15" s="148" t="s">
        <v>168</v>
      </c>
      <c r="AD15" s="12">
        <v>14</v>
      </c>
      <c r="AE15" s="12">
        <v>0</v>
      </c>
      <c r="AF15" s="12">
        <v>0</v>
      </c>
      <c r="AG15" s="12">
        <v>0</v>
      </c>
      <c r="AH15" s="12">
        <v>44</v>
      </c>
      <c r="AI15" s="12">
        <v>4</v>
      </c>
    </row>
    <row r="16" spans="1:35" x14ac:dyDescent="0.25">
      <c r="A16" s="12">
        <v>2015</v>
      </c>
      <c r="B16" s="148" t="s">
        <v>157</v>
      </c>
      <c r="C16" s="12">
        <v>5</v>
      </c>
      <c r="D16" s="12">
        <v>0</v>
      </c>
      <c r="E16" s="12">
        <v>0</v>
      </c>
      <c r="F16" s="12">
        <v>1</v>
      </c>
      <c r="G16" s="12">
        <v>14</v>
      </c>
      <c r="H16" s="12">
        <v>4</v>
      </c>
      <c r="J16" s="12">
        <v>2015</v>
      </c>
      <c r="K16" s="148" t="s">
        <v>64</v>
      </c>
      <c r="L16" s="12">
        <v>5</v>
      </c>
      <c r="M16" s="12">
        <v>0</v>
      </c>
      <c r="N16" s="12">
        <v>0</v>
      </c>
      <c r="O16" s="12">
        <v>1</v>
      </c>
      <c r="P16" s="12">
        <v>14</v>
      </c>
      <c r="Q16" s="12">
        <v>4</v>
      </c>
      <c r="S16" s="12">
        <v>2020</v>
      </c>
      <c r="T16" s="148" t="s">
        <v>83</v>
      </c>
      <c r="U16" s="12">
        <v>9</v>
      </c>
      <c r="V16" s="12">
        <v>0</v>
      </c>
      <c r="W16" s="12">
        <v>0</v>
      </c>
      <c r="X16" s="12">
        <v>6</v>
      </c>
      <c r="Y16" s="12">
        <v>35</v>
      </c>
      <c r="Z16" s="12">
        <v>1</v>
      </c>
      <c r="AB16" s="12">
        <v>2012</v>
      </c>
      <c r="AC16" s="148" t="s">
        <v>168</v>
      </c>
      <c r="AD16" s="12">
        <v>18</v>
      </c>
      <c r="AE16" s="12">
        <v>1</v>
      </c>
      <c r="AF16" s="12">
        <v>0</v>
      </c>
      <c r="AG16" s="12">
        <v>0</v>
      </c>
      <c r="AH16" s="12">
        <v>43</v>
      </c>
      <c r="AI16" s="12">
        <v>4</v>
      </c>
    </row>
    <row r="17" spans="1:35" x14ac:dyDescent="0.25">
      <c r="A17" s="12">
        <v>2015</v>
      </c>
      <c r="B17" s="148" t="s">
        <v>146</v>
      </c>
      <c r="C17" s="12">
        <v>4</v>
      </c>
      <c r="D17" s="12">
        <v>0</v>
      </c>
      <c r="E17" s="12">
        <v>0</v>
      </c>
      <c r="F17" s="12">
        <v>1</v>
      </c>
      <c r="G17" s="12">
        <v>14</v>
      </c>
      <c r="H17" s="12">
        <v>4</v>
      </c>
      <c r="J17" s="12">
        <v>2015</v>
      </c>
      <c r="K17" s="148" t="s">
        <v>157</v>
      </c>
      <c r="L17" s="12">
        <v>5</v>
      </c>
      <c r="M17" s="12">
        <v>0</v>
      </c>
      <c r="N17" s="12">
        <v>0</v>
      </c>
      <c r="O17" s="12">
        <v>1</v>
      </c>
      <c r="P17" s="12">
        <v>14</v>
      </c>
      <c r="Q17" s="12">
        <v>4</v>
      </c>
      <c r="S17" s="12">
        <v>2024</v>
      </c>
      <c r="T17" s="148" t="s">
        <v>59</v>
      </c>
      <c r="U17" s="12">
        <v>24</v>
      </c>
      <c r="V17" s="12">
        <v>1</v>
      </c>
      <c r="W17" s="12">
        <v>1</v>
      </c>
      <c r="X17" s="12">
        <v>5</v>
      </c>
      <c r="Y17" s="12">
        <v>35</v>
      </c>
      <c r="Z17" s="12">
        <v>2</v>
      </c>
      <c r="AB17" s="12">
        <v>2011</v>
      </c>
      <c r="AC17" s="148" t="s">
        <v>168</v>
      </c>
      <c r="AD17" s="12">
        <v>2</v>
      </c>
      <c r="AE17" s="12">
        <v>0</v>
      </c>
      <c r="AF17" s="12">
        <v>0</v>
      </c>
      <c r="AG17" s="12">
        <v>0</v>
      </c>
      <c r="AH17" s="12">
        <v>42</v>
      </c>
      <c r="AI17" s="12">
        <v>3</v>
      </c>
    </row>
    <row r="18" spans="1:35" x14ac:dyDescent="0.25">
      <c r="A18" s="12">
        <v>2015</v>
      </c>
      <c r="B18" s="148" t="s">
        <v>159</v>
      </c>
      <c r="C18" s="12">
        <v>4</v>
      </c>
      <c r="D18" s="12">
        <v>0</v>
      </c>
      <c r="E18" s="12">
        <v>0</v>
      </c>
      <c r="F18" s="12">
        <v>1</v>
      </c>
      <c r="G18" s="12">
        <v>14</v>
      </c>
      <c r="H18" s="12">
        <v>4</v>
      </c>
      <c r="J18" s="12">
        <v>2013</v>
      </c>
      <c r="K18" s="148" t="s">
        <v>173</v>
      </c>
      <c r="L18" s="12">
        <v>5</v>
      </c>
      <c r="M18" s="12">
        <v>0</v>
      </c>
      <c r="N18" s="12">
        <v>0</v>
      </c>
      <c r="O18" s="12">
        <v>0</v>
      </c>
      <c r="P18" s="12">
        <v>14</v>
      </c>
      <c r="Q18" s="12">
        <v>4</v>
      </c>
      <c r="S18" s="12">
        <v>2019</v>
      </c>
      <c r="T18" s="148" t="s">
        <v>83</v>
      </c>
      <c r="U18" s="12">
        <v>22</v>
      </c>
      <c r="V18" s="12">
        <v>1</v>
      </c>
      <c r="W18" s="12">
        <v>0</v>
      </c>
      <c r="X18" s="12">
        <v>42</v>
      </c>
      <c r="Y18" s="12">
        <v>34</v>
      </c>
      <c r="Z18" s="12">
        <v>2</v>
      </c>
      <c r="AB18" s="12">
        <v>2026</v>
      </c>
      <c r="AC18" s="148" t="s">
        <v>31</v>
      </c>
      <c r="AD18" s="12">
        <v>4</v>
      </c>
      <c r="AE18" s="12">
        <v>0</v>
      </c>
      <c r="AF18" s="12">
        <v>0</v>
      </c>
      <c r="AG18" s="12">
        <v>0</v>
      </c>
      <c r="AH18" s="12">
        <v>41</v>
      </c>
      <c r="AI18" s="12">
        <v>4</v>
      </c>
    </row>
    <row r="19" spans="1:35" x14ac:dyDescent="0.25">
      <c r="A19" s="12">
        <v>2015</v>
      </c>
      <c r="B19" s="148" t="s">
        <v>165</v>
      </c>
      <c r="C19" s="12">
        <v>2</v>
      </c>
      <c r="D19" s="12">
        <v>0</v>
      </c>
      <c r="E19" s="12">
        <v>0</v>
      </c>
      <c r="F19" s="12">
        <v>1</v>
      </c>
      <c r="G19" s="12">
        <v>14</v>
      </c>
      <c r="H19" s="12">
        <v>4</v>
      </c>
      <c r="J19" s="12">
        <v>2016</v>
      </c>
      <c r="K19" s="148" t="s">
        <v>36</v>
      </c>
      <c r="L19" s="12">
        <v>4</v>
      </c>
      <c r="M19" s="12">
        <v>0</v>
      </c>
      <c r="N19" s="12">
        <v>0</v>
      </c>
      <c r="O19" s="12">
        <v>6</v>
      </c>
      <c r="P19" s="12">
        <v>14</v>
      </c>
      <c r="Q19" s="12">
        <v>4</v>
      </c>
      <c r="S19" s="12">
        <v>2019</v>
      </c>
      <c r="T19" s="148" t="s">
        <v>105</v>
      </c>
      <c r="U19" s="12">
        <v>22</v>
      </c>
      <c r="V19" s="12">
        <v>4</v>
      </c>
      <c r="W19" s="12">
        <v>0</v>
      </c>
      <c r="X19" s="12">
        <v>13</v>
      </c>
      <c r="Y19" s="12">
        <v>34</v>
      </c>
      <c r="Z19" s="12">
        <v>2</v>
      </c>
      <c r="AB19" s="12">
        <v>2019</v>
      </c>
      <c r="AC19" s="148" t="s">
        <v>110</v>
      </c>
      <c r="AD19" s="12">
        <v>2</v>
      </c>
      <c r="AE19" s="12">
        <v>0</v>
      </c>
      <c r="AF19" s="12">
        <v>0</v>
      </c>
      <c r="AG19" s="12">
        <v>0</v>
      </c>
      <c r="AH19" s="12">
        <v>41</v>
      </c>
      <c r="AI19" s="12">
        <v>2</v>
      </c>
    </row>
    <row r="20" spans="1:35" x14ac:dyDescent="0.25">
      <c r="A20" s="12">
        <v>2015</v>
      </c>
      <c r="B20" s="148" t="s">
        <v>148</v>
      </c>
      <c r="C20" s="12">
        <v>22</v>
      </c>
      <c r="D20" s="12">
        <v>1</v>
      </c>
      <c r="E20" s="12">
        <v>0</v>
      </c>
      <c r="F20" s="12">
        <v>28</v>
      </c>
      <c r="G20" s="12">
        <v>15</v>
      </c>
      <c r="H20" s="12">
        <v>4</v>
      </c>
      <c r="J20" s="12">
        <v>2015</v>
      </c>
      <c r="K20" s="148" t="s">
        <v>146</v>
      </c>
      <c r="L20" s="12">
        <v>4</v>
      </c>
      <c r="M20" s="12">
        <v>0</v>
      </c>
      <c r="N20" s="12">
        <v>0</v>
      </c>
      <c r="O20" s="12">
        <v>1</v>
      </c>
      <c r="P20" s="12">
        <v>14</v>
      </c>
      <c r="Q20" s="12">
        <v>4</v>
      </c>
      <c r="S20" s="12">
        <v>2025</v>
      </c>
      <c r="T20" s="148" t="s">
        <v>34</v>
      </c>
      <c r="U20" s="12">
        <v>2</v>
      </c>
      <c r="V20" s="12">
        <v>1</v>
      </c>
      <c r="W20" s="12">
        <v>0</v>
      </c>
      <c r="X20" s="12">
        <v>1</v>
      </c>
      <c r="Y20" s="12">
        <v>34</v>
      </c>
      <c r="Z20" s="12">
        <v>2</v>
      </c>
      <c r="AB20" s="12">
        <v>2010</v>
      </c>
      <c r="AC20" s="148" t="s">
        <v>202</v>
      </c>
      <c r="AD20" s="12">
        <v>10</v>
      </c>
      <c r="AE20" s="12">
        <v>0</v>
      </c>
      <c r="AF20" s="12">
        <v>0</v>
      </c>
      <c r="AG20" s="12">
        <v>0</v>
      </c>
      <c r="AH20" s="12">
        <v>40</v>
      </c>
      <c r="AI20" s="12">
        <v>3</v>
      </c>
    </row>
    <row r="21" spans="1:35" x14ac:dyDescent="0.25">
      <c r="A21" s="12">
        <v>2017</v>
      </c>
      <c r="B21" s="148" t="s">
        <v>43</v>
      </c>
      <c r="C21" s="12">
        <v>13</v>
      </c>
      <c r="D21" s="12">
        <v>0</v>
      </c>
      <c r="E21" s="12">
        <v>0</v>
      </c>
      <c r="F21" s="12">
        <v>9</v>
      </c>
      <c r="G21" s="12">
        <v>15</v>
      </c>
      <c r="H21" s="12">
        <v>3</v>
      </c>
      <c r="J21" s="12">
        <v>2015</v>
      </c>
      <c r="K21" s="148" t="s">
        <v>159</v>
      </c>
      <c r="L21" s="12">
        <v>4</v>
      </c>
      <c r="M21" s="12">
        <v>0</v>
      </c>
      <c r="N21" s="12">
        <v>0</v>
      </c>
      <c r="O21" s="12">
        <v>1</v>
      </c>
      <c r="P21" s="12">
        <v>14</v>
      </c>
      <c r="Q21" s="12">
        <v>4</v>
      </c>
      <c r="S21" s="12">
        <v>2018</v>
      </c>
      <c r="T21" s="148" t="s">
        <v>105</v>
      </c>
      <c r="U21" s="12">
        <v>18</v>
      </c>
      <c r="V21" s="12">
        <v>2</v>
      </c>
      <c r="W21" s="12">
        <v>0</v>
      </c>
      <c r="X21" s="12">
        <v>30</v>
      </c>
      <c r="Y21" s="12">
        <v>33</v>
      </c>
      <c r="Z21" s="12">
        <v>2</v>
      </c>
      <c r="AB21" s="12">
        <v>2022</v>
      </c>
      <c r="AC21" s="148" t="s">
        <v>83</v>
      </c>
      <c r="AD21" s="12">
        <v>25</v>
      </c>
      <c r="AE21" s="12">
        <v>0</v>
      </c>
      <c r="AF21" s="12">
        <v>0</v>
      </c>
      <c r="AG21" s="12">
        <v>34</v>
      </c>
      <c r="AH21" s="12">
        <v>37</v>
      </c>
      <c r="AI21" s="12">
        <v>2</v>
      </c>
    </row>
    <row r="22" spans="1:35" x14ac:dyDescent="0.25">
      <c r="A22" s="12">
        <v>2016</v>
      </c>
      <c r="B22" s="148" t="s">
        <v>64</v>
      </c>
      <c r="C22" s="12">
        <v>2</v>
      </c>
      <c r="D22" s="12">
        <v>0</v>
      </c>
      <c r="E22" s="12">
        <v>0</v>
      </c>
      <c r="F22" s="12">
        <v>4</v>
      </c>
      <c r="G22" s="12">
        <v>15</v>
      </c>
      <c r="H22" s="12">
        <v>4</v>
      </c>
      <c r="J22" s="12">
        <v>2015</v>
      </c>
      <c r="K22" s="148" t="s">
        <v>94</v>
      </c>
      <c r="L22" s="12">
        <v>4</v>
      </c>
      <c r="M22" s="12">
        <v>0</v>
      </c>
      <c r="N22" s="12">
        <v>0</v>
      </c>
      <c r="O22" s="12">
        <v>0</v>
      </c>
      <c r="P22" s="12">
        <v>14</v>
      </c>
      <c r="Q22" s="12">
        <v>4</v>
      </c>
      <c r="S22" s="12">
        <v>2024</v>
      </c>
      <c r="T22" s="148" t="s">
        <v>34</v>
      </c>
      <c r="U22" s="12">
        <v>26</v>
      </c>
      <c r="V22" s="12">
        <v>0</v>
      </c>
      <c r="W22" s="12">
        <v>0</v>
      </c>
      <c r="X22" s="12">
        <v>24</v>
      </c>
      <c r="Y22" s="12">
        <v>33</v>
      </c>
      <c r="Z22" s="12">
        <v>2</v>
      </c>
      <c r="AB22" s="12">
        <v>2024</v>
      </c>
      <c r="AC22" s="148" t="s">
        <v>59</v>
      </c>
      <c r="AD22" s="12">
        <v>24</v>
      </c>
      <c r="AE22" s="12">
        <v>1</v>
      </c>
      <c r="AF22" s="12">
        <v>1</v>
      </c>
      <c r="AG22" s="12">
        <v>5</v>
      </c>
      <c r="AH22" s="12">
        <v>35</v>
      </c>
      <c r="AI22" s="12">
        <v>2</v>
      </c>
    </row>
    <row r="23" spans="1:35" x14ac:dyDescent="0.25">
      <c r="A23" s="12">
        <v>2015</v>
      </c>
      <c r="B23" s="148" t="s">
        <v>134</v>
      </c>
      <c r="C23" s="12">
        <v>11</v>
      </c>
      <c r="D23" s="12">
        <v>0</v>
      </c>
      <c r="E23" s="12">
        <v>0</v>
      </c>
      <c r="F23" s="12">
        <v>3</v>
      </c>
      <c r="G23" s="12">
        <v>15</v>
      </c>
      <c r="H23" s="12">
        <v>4</v>
      </c>
      <c r="J23" s="12">
        <v>2015</v>
      </c>
      <c r="K23" s="148" t="s">
        <v>104</v>
      </c>
      <c r="L23" s="12">
        <v>4</v>
      </c>
      <c r="M23" s="12">
        <v>0</v>
      </c>
      <c r="N23" s="12">
        <v>0</v>
      </c>
      <c r="O23" s="12">
        <v>0</v>
      </c>
      <c r="P23" s="12">
        <v>14</v>
      </c>
      <c r="Q23" s="12">
        <v>4</v>
      </c>
      <c r="S23" s="12">
        <v>2023</v>
      </c>
      <c r="T23" s="148" t="s">
        <v>34</v>
      </c>
      <c r="U23" s="12">
        <v>22</v>
      </c>
      <c r="V23" s="12">
        <v>1</v>
      </c>
      <c r="W23" s="12">
        <v>0</v>
      </c>
      <c r="X23" s="12">
        <v>11</v>
      </c>
      <c r="Y23" s="12">
        <v>32</v>
      </c>
      <c r="Z23" s="12">
        <v>2</v>
      </c>
      <c r="AB23" s="12">
        <v>2020</v>
      </c>
      <c r="AC23" s="148" t="s">
        <v>83</v>
      </c>
      <c r="AD23" s="12">
        <v>9</v>
      </c>
      <c r="AE23" s="12">
        <v>0</v>
      </c>
      <c r="AF23" s="12">
        <v>0</v>
      </c>
      <c r="AG23" s="12">
        <v>6</v>
      </c>
      <c r="AH23" s="12">
        <v>35</v>
      </c>
      <c r="AI23" s="12">
        <v>1</v>
      </c>
    </row>
    <row r="24" spans="1:35" x14ac:dyDescent="0.25">
      <c r="A24" s="12">
        <v>2026</v>
      </c>
      <c r="B24" s="148" t="s">
        <v>383</v>
      </c>
      <c r="C24" s="12">
        <v>2</v>
      </c>
      <c r="D24" s="12">
        <v>0</v>
      </c>
      <c r="E24" s="12">
        <v>0</v>
      </c>
      <c r="F24" s="12">
        <v>2</v>
      </c>
      <c r="G24" s="12">
        <v>15</v>
      </c>
      <c r="H24" s="12">
        <v>4</v>
      </c>
      <c r="J24" s="12">
        <v>2017</v>
      </c>
      <c r="K24" s="148" t="s">
        <v>102</v>
      </c>
      <c r="L24" s="12">
        <v>3</v>
      </c>
      <c r="M24" s="12">
        <v>0</v>
      </c>
      <c r="N24" s="12">
        <v>0</v>
      </c>
      <c r="O24" s="12">
        <v>0</v>
      </c>
      <c r="P24" s="12">
        <v>14</v>
      </c>
      <c r="Q24" s="12">
        <v>3</v>
      </c>
      <c r="S24" s="12">
        <v>2017</v>
      </c>
      <c r="T24" s="148" t="s">
        <v>105</v>
      </c>
      <c r="U24" s="12">
        <v>8</v>
      </c>
      <c r="V24" s="12">
        <v>1</v>
      </c>
      <c r="W24" s="12">
        <v>0</v>
      </c>
      <c r="X24" s="12">
        <v>10</v>
      </c>
      <c r="Y24" s="12">
        <v>32</v>
      </c>
      <c r="Z24" s="12">
        <v>3</v>
      </c>
      <c r="AB24" s="12">
        <v>2026</v>
      </c>
      <c r="AC24" s="148" t="s">
        <v>34</v>
      </c>
      <c r="AD24" s="12">
        <v>4</v>
      </c>
      <c r="AE24" s="12">
        <v>0</v>
      </c>
      <c r="AF24" s="12">
        <v>0</v>
      </c>
      <c r="AG24" s="12">
        <v>7</v>
      </c>
      <c r="AH24" s="12">
        <v>35</v>
      </c>
      <c r="AI24" s="12">
        <v>4</v>
      </c>
    </row>
    <row r="25" spans="1:35" x14ac:dyDescent="0.25">
      <c r="A25" s="12">
        <v>2015</v>
      </c>
      <c r="B25" s="148" t="s">
        <v>149</v>
      </c>
      <c r="C25" s="12">
        <v>14</v>
      </c>
      <c r="D25" s="12">
        <v>0</v>
      </c>
      <c r="E25" s="12">
        <v>0</v>
      </c>
      <c r="F25" s="12">
        <v>2</v>
      </c>
      <c r="G25" s="12">
        <v>15</v>
      </c>
      <c r="H25" s="12">
        <v>4</v>
      </c>
      <c r="J25" s="12">
        <v>2013</v>
      </c>
      <c r="K25" s="148" t="s">
        <v>178</v>
      </c>
      <c r="L25" s="12">
        <v>3</v>
      </c>
      <c r="M25" s="12">
        <v>0</v>
      </c>
      <c r="N25" s="12">
        <v>0</v>
      </c>
      <c r="O25" s="12">
        <v>0</v>
      </c>
      <c r="P25" s="12">
        <v>14</v>
      </c>
      <c r="Q25" s="12">
        <v>4</v>
      </c>
      <c r="S25" s="12">
        <v>2022</v>
      </c>
      <c r="T25" s="148" t="s">
        <v>34</v>
      </c>
      <c r="U25" s="12">
        <v>28</v>
      </c>
      <c r="V25" s="12">
        <v>0</v>
      </c>
      <c r="W25" s="12">
        <v>0</v>
      </c>
      <c r="X25" s="12">
        <v>25</v>
      </c>
      <c r="Y25" s="12">
        <v>31</v>
      </c>
      <c r="Z25" s="12">
        <v>2</v>
      </c>
      <c r="AB25" s="12">
        <v>2020</v>
      </c>
      <c r="AC25" s="148" t="s">
        <v>31</v>
      </c>
      <c r="AD25" s="12">
        <v>4</v>
      </c>
      <c r="AE25" s="12">
        <v>0</v>
      </c>
      <c r="AF25" s="12">
        <v>0</v>
      </c>
      <c r="AG25" s="12">
        <v>0</v>
      </c>
      <c r="AH25" s="12">
        <v>35</v>
      </c>
      <c r="AI25" s="12">
        <v>1</v>
      </c>
    </row>
    <row r="26" spans="1:35" x14ac:dyDescent="0.25">
      <c r="A26" s="12">
        <v>2012</v>
      </c>
      <c r="B26" s="148" t="s">
        <v>176</v>
      </c>
      <c r="C26" s="12">
        <v>15</v>
      </c>
      <c r="D26" s="12">
        <v>1</v>
      </c>
      <c r="E26" s="12">
        <v>0</v>
      </c>
      <c r="F26" s="12">
        <v>2</v>
      </c>
      <c r="G26" s="12">
        <v>15</v>
      </c>
      <c r="H26" s="12">
        <v>4</v>
      </c>
      <c r="J26" s="12">
        <v>2015</v>
      </c>
      <c r="K26" s="148" t="s">
        <v>165</v>
      </c>
      <c r="L26" s="12">
        <v>2</v>
      </c>
      <c r="M26" s="12">
        <v>0</v>
      </c>
      <c r="N26" s="12">
        <v>0</v>
      </c>
      <c r="O26" s="12">
        <v>1</v>
      </c>
      <c r="P26" s="12">
        <v>14</v>
      </c>
      <c r="Q26" s="12">
        <v>4</v>
      </c>
      <c r="S26" s="12">
        <v>2024</v>
      </c>
      <c r="T26" s="148" t="s">
        <v>50</v>
      </c>
      <c r="U26" s="12">
        <v>26</v>
      </c>
      <c r="V26" s="12">
        <v>1</v>
      </c>
      <c r="W26" s="12">
        <v>0</v>
      </c>
      <c r="X26" s="12">
        <v>2</v>
      </c>
      <c r="Y26" s="12">
        <v>31</v>
      </c>
      <c r="Z26" s="12">
        <v>2</v>
      </c>
      <c r="AB26" s="12">
        <v>2019</v>
      </c>
      <c r="AC26" s="148" t="s">
        <v>83</v>
      </c>
      <c r="AD26" s="12">
        <v>22</v>
      </c>
      <c r="AE26" s="12">
        <v>1</v>
      </c>
      <c r="AF26" s="12">
        <v>0</v>
      </c>
      <c r="AG26" s="12">
        <v>42</v>
      </c>
      <c r="AH26" s="12">
        <v>34</v>
      </c>
      <c r="AI26" s="12">
        <v>2</v>
      </c>
    </row>
    <row r="27" spans="1:35" x14ac:dyDescent="0.25">
      <c r="A27" s="12">
        <v>2023</v>
      </c>
      <c r="B27" s="148" t="s">
        <v>73</v>
      </c>
      <c r="C27" s="12">
        <v>14</v>
      </c>
      <c r="D27" s="12">
        <v>0</v>
      </c>
      <c r="E27" s="12">
        <v>0</v>
      </c>
      <c r="F27" s="12">
        <v>1</v>
      </c>
      <c r="G27" s="12">
        <v>15</v>
      </c>
      <c r="H27" s="12">
        <v>2</v>
      </c>
      <c r="J27" s="12">
        <v>2020</v>
      </c>
      <c r="K27" s="148" t="s">
        <v>38</v>
      </c>
      <c r="L27" s="12">
        <v>2</v>
      </c>
      <c r="M27" s="12">
        <v>0</v>
      </c>
      <c r="N27" s="12">
        <v>0</v>
      </c>
      <c r="O27" s="12">
        <v>0</v>
      </c>
      <c r="P27" s="12">
        <v>14</v>
      </c>
      <c r="Q27" s="12">
        <v>1</v>
      </c>
      <c r="S27" s="12">
        <v>2022</v>
      </c>
      <c r="T27" s="148" t="s">
        <v>76</v>
      </c>
      <c r="U27" s="12">
        <v>13</v>
      </c>
      <c r="V27" s="12">
        <v>0</v>
      </c>
      <c r="W27" s="12">
        <v>0</v>
      </c>
      <c r="X27" s="12">
        <v>2</v>
      </c>
      <c r="Y27" s="12">
        <v>31</v>
      </c>
      <c r="Z27" s="12">
        <v>2</v>
      </c>
      <c r="AB27" s="12">
        <v>2019</v>
      </c>
      <c r="AC27" s="148" t="s">
        <v>105</v>
      </c>
      <c r="AD27" s="12">
        <v>22</v>
      </c>
      <c r="AE27" s="12">
        <v>4</v>
      </c>
      <c r="AF27" s="12">
        <v>0</v>
      </c>
      <c r="AG27" s="12">
        <v>13</v>
      </c>
      <c r="AH27" s="12">
        <v>34</v>
      </c>
      <c r="AI27" s="12">
        <v>2</v>
      </c>
    </row>
    <row r="28" spans="1:35" x14ac:dyDescent="0.25">
      <c r="A28" s="12">
        <v>2016</v>
      </c>
      <c r="B28" s="148" t="s">
        <v>97</v>
      </c>
      <c r="C28" s="12">
        <v>6</v>
      </c>
      <c r="D28" s="12">
        <v>0</v>
      </c>
      <c r="E28" s="12">
        <v>0</v>
      </c>
      <c r="F28" s="12">
        <v>1</v>
      </c>
      <c r="G28" s="12">
        <v>15</v>
      </c>
      <c r="H28" s="12">
        <v>4</v>
      </c>
      <c r="J28" s="12">
        <v>2010</v>
      </c>
      <c r="K28" s="148" t="s">
        <v>135</v>
      </c>
      <c r="L28" s="12">
        <v>2</v>
      </c>
      <c r="M28" s="12">
        <v>0</v>
      </c>
      <c r="N28" s="12">
        <v>0</v>
      </c>
      <c r="O28" s="12">
        <v>0</v>
      </c>
      <c r="P28" s="12">
        <v>14</v>
      </c>
      <c r="Q28" s="12">
        <v>3</v>
      </c>
      <c r="S28" s="12">
        <v>2021</v>
      </c>
      <c r="T28" s="148" t="s">
        <v>34</v>
      </c>
      <c r="U28" s="12">
        <v>11</v>
      </c>
      <c r="V28" s="12">
        <v>0</v>
      </c>
      <c r="W28" s="12">
        <v>0</v>
      </c>
      <c r="X28" s="12">
        <v>4</v>
      </c>
      <c r="Y28" s="12">
        <v>30</v>
      </c>
      <c r="Z28" s="12">
        <v>2</v>
      </c>
      <c r="AB28" s="12">
        <v>2023</v>
      </c>
      <c r="AC28" s="148" t="s">
        <v>59</v>
      </c>
      <c r="AD28" s="12">
        <v>21</v>
      </c>
      <c r="AE28" s="12">
        <v>2</v>
      </c>
      <c r="AF28" s="12">
        <v>0</v>
      </c>
      <c r="AG28" s="12">
        <v>0</v>
      </c>
      <c r="AH28" s="12">
        <v>34</v>
      </c>
      <c r="AI28" s="12">
        <v>2</v>
      </c>
    </row>
    <row r="29" spans="1:35" x14ac:dyDescent="0.25">
      <c r="A29" s="12">
        <v>2014</v>
      </c>
      <c r="B29" s="148" t="s">
        <v>173</v>
      </c>
      <c r="C29" s="12">
        <v>5</v>
      </c>
      <c r="D29" s="12">
        <v>0</v>
      </c>
      <c r="E29" s="12">
        <v>0</v>
      </c>
      <c r="F29" s="12">
        <v>1</v>
      </c>
      <c r="G29" s="12">
        <v>15</v>
      </c>
      <c r="H29" s="12">
        <v>4</v>
      </c>
      <c r="J29" s="12">
        <v>2017</v>
      </c>
      <c r="K29" s="148" t="s">
        <v>86</v>
      </c>
      <c r="L29" s="12">
        <v>1</v>
      </c>
      <c r="M29" s="12">
        <v>0</v>
      </c>
      <c r="N29" s="12">
        <v>0</v>
      </c>
      <c r="O29" s="12">
        <v>0</v>
      </c>
      <c r="P29" s="12">
        <v>14</v>
      </c>
      <c r="Q29" s="12">
        <v>3</v>
      </c>
      <c r="S29" s="12">
        <v>2019</v>
      </c>
      <c r="T29" s="148" t="s">
        <v>59</v>
      </c>
      <c r="U29" s="12">
        <v>24</v>
      </c>
      <c r="V29" s="12">
        <v>0</v>
      </c>
      <c r="W29" s="12">
        <v>0</v>
      </c>
      <c r="X29" s="12">
        <v>1</v>
      </c>
      <c r="Y29" s="12">
        <v>30</v>
      </c>
      <c r="Z29" s="12">
        <v>2</v>
      </c>
      <c r="AB29" s="12">
        <v>2025</v>
      </c>
      <c r="AC29" s="148" t="s">
        <v>34</v>
      </c>
      <c r="AD29" s="12">
        <v>2</v>
      </c>
      <c r="AE29" s="12">
        <v>1</v>
      </c>
      <c r="AF29" s="12">
        <v>0</v>
      </c>
      <c r="AG29" s="12">
        <v>1</v>
      </c>
      <c r="AH29" s="12">
        <v>34</v>
      </c>
      <c r="AI29" s="12">
        <v>2</v>
      </c>
    </row>
    <row r="30" spans="1:35" x14ac:dyDescent="0.25">
      <c r="A30" s="12">
        <v>2018</v>
      </c>
      <c r="B30" s="148" t="s">
        <v>56</v>
      </c>
      <c r="C30" s="12">
        <v>17</v>
      </c>
      <c r="D30" s="12">
        <v>0</v>
      </c>
      <c r="E30" s="12">
        <v>0</v>
      </c>
      <c r="F30" s="12">
        <v>5</v>
      </c>
      <c r="G30" s="12">
        <v>16</v>
      </c>
      <c r="H30" s="12">
        <v>2</v>
      </c>
      <c r="J30" s="12">
        <v>2017</v>
      </c>
      <c r="K30" s="148" t="s">
        <v>127</v>
      </c>
      <c r="L30" s="12">
        <v>1</v>
      </c>
      <c r="M30" s="12">
        <v>0</v>
      </c>
      <c r="N30" s="12">
        <v>0</v>
      </c>
      <c r="O30" s="12">
        <v>0</v>
      </c>
      <c r="P30" s="12">
        <v>14</v>
      </c>
      <c r="Q30" s="12">
        <v>3</v>
      </c>
      <c r="S30" s="12">
        <v>2019</v>
      </c>
      <c r="T30" s="148" t="s">
        <v>107</v>
      </c>
      <c r="U30" s="12">
        <v>17</v>
      </c>
      <c r="V30" s="12">
        <v>0</v>
      </c>
      <c r="W30" s="12">
        <v>0</v>
      </c>
      <c r="X30" s="12">
        <v>13</v>
      </c>
      <c r="Y30" s="12">
        <v>29</v>
      </c>
      <c r="Z30" s="12">
        <v>2</v>
      </c>
      <c r="AB30" s="12">
        <v>2022</v>
      </c>
      <c r="AC30" s="148" t="s">
        <v>59</v>
      </c>
      <c r="AD30" s="12">
        <v>28</v>
      </c>
      <c r="AE30" s="12">
        <v>0</v>
      </c>
      <c r="AF30" s="12">
        <v>0</v>
      </c>
      <c r="AG30" s="12">
        <v>0</v>
      </c>
      <c r="AH30" s="12">
        <v>33</v>
      </c>
      <c r="AI30" s="12">
        <v>2</v>
      </c>
    </row>
    <row r="31" spans="1:35" x14ac:dyDescent="0.25">
      <c r="A31" s="12">
        <v>2017</v>
      </c>
      <c r="B31" s="148" t="s">
        <v>64</v>
      </c>
      <c r="C31" s="12">
        <v>16</v>
      </c>
      <c r="D31" s="12">
        <v>0</v>
      </c>
      <c r="E31" s="12">
        <v>0</v>
      </c>
      <c r="F31" s="12">
        <v>5</v>
      </c>
      <c r="G31" s="12">
        <v>16</v>
      </c>
      <c r="H31" s="12">
        <v>3</v>
      </c>
      <c r="J31" s="12">
        <v>2015</v>
      </c>
      <c r="K31" s="148" t="s">
        <v>96</v>
      </c>
      <c r="L31" s="12">
        <v>1</v>
      </c>
      <c r="M31" s="12">
        <v>0</v>
      </c>
      <c r="N31" s="12">
        <v>0</v>
      </c>
      <c r="O31" s="12">
        <v>0</v>
      </c>
      <c r="P31" s="12">
        <v>14</v>
      </c>
      <c r="Q31" s="12">
        <v>4</v>
      </c>
      <c r="S31" s="12">
        <v>2020</v>
      </c>
      <c r="T31" s="148" t="s">
        <v>34</v>
      </c>
      <c r="U31" s="12">
        <v>2</v>
      </c>
      <c r="V31" s="12">
        <v>1</v>
      </c>
      <c r="W31" s="12">
        <v>0</v>
      </c>
      <c r="X31" s="12">
        <v>2</v>
      </c>
      <c r="Y31" s="12">
        <v>29</v>
      </c>
      <c r="Z31" s="12">
        <v>1</v>
      </c>
      <c r="AB31" s="12">
        <v>2024</v>
      </c>
      <c r="AC31" s="148" t="s">
        <v>34</v>
      </c>
      <c r="AD31" s="12">
        <v>26</v>
      </c>
      <c r="AE31" s="12">
        <v>0</v>
      </c>
      <c r="AF31" s="12">
        <v>0</v>
      </c>
      <c r="AG31" s="12">
        <v>24</v>
      </c>
      <c r="AH31" s="12">
        <v>33</v>
      </c>
      <c r="AI31" s="12">
        <v>2</v>
      </c>
    </row>
    <row r="32" spans="1:35" x14ac:dyDescent="0.25">
      <c r="A32" s="12">
        <v>2012</v>
      </c>
      <c r="B32" s="148" t="s">
        <v>133</v>
      </c>
      <c r="C32" s="12">
        <v>18</v>
      </c>
      <c r="D32" s="12">
        <v>0</v>
      </c>
      <c r="E32" s="12">
        <v>0</v>
      </c>
      <c r="F32" s="12">
        <v>4</v>
      </c>
      <c r="G32" s="12">
        <v>16</v>
      </c>
      <c r="H32" s="12">
        <v>4</v>
      </c>
      <c r="J32" s="12">
        <v>2014</v>
      </c>
      <c r="K32" s="148" t="s">
        <v>147</v>
      </c>
      <c r="L32" s="12">
        <v>1</v>
      </c>
      <c r="M32" s="12">
        <v>0</v>
      </c>
      <c r="N32" s="12">
        <v>0</v>
      </c>
      <c r="O32" s="12">
        <v>0</v>
      </c>
      <c r="P32" s="12">
        <v>14</v>
      </c>
      <c r="Q32" s="12">
        <v>4</v>
      </c>
      <c r="AB32" s="12">
        <v>2018</v>
      </c>
      <c r="AC32" s="148" t="s">
        <v>105</v>
      </c>
      <c r="AD32" s="12">
        <v>18</v>
      </c>
      <c r="AE32" s="12">
        <v>2</v>
      </c>
      <c r="AF32" s="12">
        <v>0</v>
      </c>
      <c r="AG32" s="12">
        <v>30</v>
      </c>
      <c r="AH32" s="12">
        <v>33</v>
      </c>
      <c r="AI32" s="12">
        <v>2</v>
      </c>
    </row>
    <row r="33" spans="1:35" x14ac:dyDescent="0.25">
      <c r="A33" s="12">
        <v>2012</v>
      </c>
      <c r="B33" s="148" t="s">
        <v>139</v>
      </c>
      <c r="C33" s="12">
        <v>16</v>
      </c>
      <c r="D33" s="12">
        <v>0</v>
      </c>
      <c r="E33" s="12">
        <v>0</v>
      </c>
      <c r="F33" s="12">
        <v>4</v>
      </c>
      <c r="G33" s="12">
        <v>16</v>
      </c>
      <c r="H33" s="12">
        <v>4</v>
      </c>
      <c r="J33" s="12">
        <v>2013</v>
      </c>
      <c r="K33" s="148" t="s">
        <v>150</v>
      </c>
      <c r="L33" s="12">
        <v>1</v>
      </c>
      <c r="M33" s="12">
        <v>0</v>
      </c>
      <c r="N33" s="12">
        <v>0</v>
      </c>
      <c r="O33" s="12">
        <v>0</v>
      </c>
      <c r="P33" s="12">
        <v>14</v>
      </c>
      <c r="Q33" s="12">
        <v>4</v>
      </c>
      <c r="AB33" s="12">
        <v>2018</v>
      </c>
      <c r="AC33" s="148" t="s">
        <v>31</v>
      </c>
      <c r="AD33" s="12">
        <v>17</v>
      </c>
      <c r="AE33" s="12">
        <v>0</v>
      </c>
      <c r="AF33" s="12">
        <v>0</v>
      </c>
      <c r="AG33" s="12">
        <v>0</v>
      </c>
      <c r="AH33" s="12">
        <v>33</v>
      </c>
      <c r="AI33" s="12">
        <v>2</v>
      </c>
    </row>
    <row r="34" spans="1:35" x14ac:dyDescent="0.25">
      <c r="A34" s="12">
        <v>2025</v>
      </c>
      <c r="B34" s="148" t="s">
        <v>45</v>
      </c>
      <c r="C34" s="12">
        <v>3</v>
      </c>
      <c r="D34" s="12">
        <v>0</v>
      </c>
      <c r="E34" s="12">
        <v>0</v>
      </c>
      <c r="F34" s="12">
        <v>3</v>
      </c>
      <c r="G34" s="12">
        <v>16</v>
      </c>
      <c r="H34" s="12">
        <v>2</v>
      </c>
      <c r="J34" s="12">
        <v>2013</v>
      </c>
      <c r="K34" s="148" t="s">
        <v>156</v>
      </c>
      <c r="L34" s="12">
        <v>1</v>
      </c>
      <c r="M34" s="12">
        <v>0</v>
      </c>
      <c r="N34" s="12">
        <v>0</v>
      </c>
      <c r="O34" s="12">
        <v>0</v>
      </c>
      <c r="P34" s="12">
        <v>14</v>
      </c>
      <c r="Q34" s="12">
        <v>4</v>
      </c>
      <c r="AB34" s="12">
        <v>2023</v>
      </c>
      <c r="AC34" s="148" t="s">
        <v>34</v>
      </c>
      <c r="AD34" s="12">
        <v>22</v>
      </c>
      <c r="AE34" s="12">
        <v>1</v>
      </c>
      <c r="AF34" s="12">
        <v>0</v>
      </c>
      <c r="AG34" s="12">
        <v>11</v>
      </c>
      <c r="AH34" s="12">
        <v>32</v>
      </c>
      <c r="AI34" s="12">
        <v>2</v>
      </c>
    </row>
    <row r="35" spans="1:35" x14ac:dyDescent="0.25">
      <c r="A35" s="12">
        <v>2016</v>
      </c>
      <c r="B35" s="148" t="s">
        <v>134</v>
      </c>
      <c r="C35" s="12">
        <v>12</v>
      </c>
      <c r="D35" s="12">
        <v>0</v>
      </c>
      <c r="E35" s="12">
        <v>0</v>
      </c>
      <c r="F35" s="12">
        <v>3</v>
      </c>
      <c r="G35" s="12">
        <v>16</v>
      </c>
      <c r="H35" s="12">
        <v>4</v>
      </c>
      <c r="J35" s="12">
        <v>2013</v>
      </c>
      <c r="K35" s="148" t="s">
        <v>180</v>
      </c>
      <c r="L35" s="12">
        <v>1</v>
      </c>
      <c r="M35" s="12">
        <v>0</v>
      </c>
      <c r="N35" s="12">
        <v>0</v>
      </c>
      <c r="O35" s="12">
        <v>0</v>
      </c>
      <c r="P35" s="12">
        <v>14</v>
      </c>
      <c r="Q35" s="12">
        <v>4</v>
      </c>
      <c r="AB35" s="12">
        <v>2023</v>
      </c>
      <c r="AC35" s="148" t="s">
        <v>76</v>
      </c>
      <c r="AD35" s="12">
        <v>8</v>
      </c>
      <c r="AE35" s="12">
        <v>1</v>
      </c>
      <c r="AF35" s="12">
        <v>0</v>
      </c>
      <c r="AG35" s="12">
        <v>0</v>
      </c>
      <c r="AH35" s="12">
        <v>32</v>
      </c>
      <c r="AI35" s="12">
        <v>2</v>
      </c>
    </row>
    <row r="36" spans="1:35" x14ac:dyDescent="0.25">
      <c r="A36" s="12">
        <v>2015</v>
      </c>
      <c r="B36" s="148" t="s">
        <v>154</v>
      </c>
      <c r="C36" s="12">
        <v>9</v>
      </c>
      <c r="D36" s="12">
        <v>0</v>
      </c>
      <c r="E36" s="12">
        <v>0</v>
      </c>
      <c r="F36" s="12">
        <v>3</v>
      </c>
      <c r="G36" s="12">
        <v>16</v>
      </c>
      <c r="H36" s="12">
        <v>4</v>
      </c>
      <c r="J36" s="12">
        <v>2015</v>
      </c>
      <c r="K36" s="148" t="s">
        <v>148</v>
      </c>
      <c r="L36" s="12">
        <v>22</v>
      </c>
      <c r="M36" s="12">
        <v>1</v>
      </c>
      <c r="N36" s="12">
        <v>0</v>
      </c>
      <c r="O36" s="12">
        <v>28</v>
      </c>
      <c r="P36" s="12">
        <v>15</v>
      </c>
      <c r="Q36" s="12">
        <v>4</v>
      </c>
      <c r="AB36" s="12">
        <v>2017</v>
      </c>
      <c r="AC36" s="148" t="s">
        <v>105</v>
      </c>
      <c r="AD36" s="12">
        <v>8</v>
      </c>
      <c r="AE36" s="12">
        <v>1</v>
      </c>
      <c r="AF36" s="12">
        <v>0</v>
      </c>
      <c r="AG36" s="12">
        <v>10</v>
      </c>
      <c r="AH36" s="12">
        <v>32</v>
      </c>
      <c r="AI36" s="12">
        <v>3</v>
      </c>
    </row>
    <row r="37" spans="1:35" x14ac:dyDescent="0.25">
      <c r="A37" s="12">
        <v>2023</v>
      </c>
      <c r="B37" s="148" t="s">
        <v>29</v>
      </c>
      <c r="C37" s="12">
        <v>8</v>
      </c>
      <c r="D37" s="12">
        <v>0</v>
      </c>
      <c r="E37" s="12">
        <v>0</v>
      </c>
      <c r="F37" s="12">
        <v>2</v>
      </c>
      <c r="G37" s="12">
        <v>16</v>
      </c>
      <c r="H37" s="12">
        <v>2</v>
      </c>
      <c r="J37" s="12">
        <v>2015</v>
      </c>
      <c r="K37" s="148" t="s">
        <v>108</v>
      </c>
      <c r="L37" s="12">
        <v>21</v>
      </c>
      <c r="M37" s="12">
        <v>0</v>
      </c>
      <c r="N37" s="12">
        <v>0</v>
      </c>
      <c r="O37" s="12">
        <v>0</v>
      </c>
      <c r="P37" s="12">
        <v>15</v>
      </c>
      <c r="Q37" s="12">
        <v>4</v>
      </c>
      <c r="AB37" s="12">
        <v>2025</v>
      </c>
      <c r="AC37" s="148" t="s">
        <v>50</v>
      </c>
      <c r="AD37" s="12">
        <v>2</v>
      </c>
      <c r="AE37" s="12">
        <v>0</v>
      </c>
      <c r="AF37" s="12">
        <v>0</v>
      </c>
      <c r="AG37" s="12">
        <v>0</v>
      </c>
      <c r="AH37" s="12">
        <v>32</v>
      </c>
      <c r="AI37" s="12">
        <v>2</v>
      </c>
    </row>
    <row r="38" spans="1:35" x14ac:dyDescent="0.25">
      <c r="A38" s="12">
        <v>2016</v>
      </c>
      <c r="B38" s="148" t="s">
        <v>132</v>
      </c>
      <c r="C38" s="12">
        <v>14</v>
      </c>
      <c r="D38" s="12">
        <v>0</v>
      </c>
      <c r="E38" s="12">
        <v>0</v>
      </c>
      <c r="F38" s="12">
        <v>2</v>
      </c>
      <c r="G38" s="12">
        <v>16</v>
      </c>
      <c r="H38" s="12">
        <v>4</v>
      </c>
      <c r="J38" s="12">
        <v>2012</v>
      </c>
      <c r="K38" s="148" t="s">
        <v>176</v>
      </c>
      <c r="L38" s="12">
        <v>15</v>
      </c>
      <c r="M38" s="12">
        <v>1</v>
      </c>
      <c r="N38" s="12">
        <v>0</v>
      </c>
      <c r="O38" s="12">
        <v>2</v>
      </c>
      <c r="P38" s="12">
        <v>15</v>
      </c>
      <c r="Q38" s="12">
        <v>4</v>
      </c>
      <c r="AB38" s="12">
        <v>2022</v>
      </c>
      <c r="AC38" s="148" t="s">
        <v>34</v>
      </c>
      <c r="AD38" s="12">
        <v>28</v>
      </c>
      <c r="AE38" s="12">
        <v>0</v>
      </c>
      <c r="AF38" s="12">
        <v>0</v>
      </c>
      <c r="AG38" s="12">
        <v>25</v>
      </c>
      <c r="AH38" s="12">
        <v>31</v>
      </c>
      <c r="AI38" s="12">
        <v>2</v>
      </c>
    </row>
    <row r="39" spans="1:35" x14ac:dyDescent="0.25">
      <c r="A39" s="12">
        <v>2013</v>
      </c>
      <c r="B39" s="148" t="s">
        <v>176</v>
      </c>
      <c r="C39" s="12">
        <v>7</v>
      </c>
      <c r="D39" s="12">
        <v>0</v>
      </c>
      <c r="E39" s="12">
        <v>0</v>
      </c>
      <c r="F39" s="12">
        <v>2</v>
      </c>
      <c r="G39" s="12">
        <v>16</v>
      </c>
      <c r="H39" s="12">
        <v>4</v>
      </c>
      <c r="J39" s="12">
        <v>2012</v>
      </c>
      <c r="K39" s="148" t="s">
        <v>84</v>
      </c>
      <c r="L39" s="12">
        <v>15</v>
      </c>
      <c r="M39" s="12">
        <v>0</v>
      </c>
      <c r="N39" s="12">
        <v>0</v>
      </c>
      <c r="O39" s="12">
        <v>0</v>
      </c>
      <c r="P39" s="12">
        <v>15</v>
      </c>
      <c r="Q39" s="12">
        <v>4</v>
      </c>
      <c r="AB39" s="12">
        <v>2024</v>
      </c>
      <c r="AC39" s="148" t="s">
        <v>50</v>
      </c>
      <c r="AD39" s="12">
        <v>26</v>
      </c>
      <c r="AE39" s="12">
        <v>1</v>
      </c>
      <c r="AF39" s="12">
        <v>0</v>
      </c>
      <c r="AG39" s="12">
        <v>2</v>
      </c>
      <c r="AH39" s="12">
        <v>31</v>
      </c>
      <c r="AI39" s="12">
        <v>2</v>
      </c>
    </row>
    <row r="40" spans="1:35" x14ac:dyDescent="0.25">
      <c r="A40" s="12">
        <v>2012</v>
      </c>
      <c r="B40" s="148" t="s">
        <v>138</v>
      </c>
      <c r="C40" s="12">
        <v>12</v>
      </c>
      <c r="D40" s="12">
        <v>0</v>
      </c>
      <c r="E40" s="12">
        <v>0</v>
      </c>
      <c r="F40" s="12">
        <v>2</v>
      </c>
      <c r="G40" s="12">
        <v>16</v>
      </c>
      <c r="H40" s="12">
        <v>4</v>
      </c>
      <c r="J40" s="12">
        <v>2015</v>
      </c>
      <c r="K40" s="148" t="s">
        <v>149</v>
      </c>
      <c r="L40" s="12">
        <v>14</v>
      </c>
      <c r="M40" s="12">
        <v>0</v>
      </c>
      <c r="N40" s="12">
        <v>0</v>
      </c>
      <c r="O40" s="12">
        <v>2</v>
      </c>
      <c r="P40" s="12">
        <v>15</v>
      </c>
      <c r="Q40" s="12">
        <v>4</v>
      </c>
      <c r="AB40" s="12">
        <v>2022</v>
      </c>
      <c r="AC40" s="148" t="s">
        <v>76</v>
      </c>
      <c r="AD40" s="12">
        <v>13</v>
      </c>
      <c r="AE40" s="12">
        <v>0</v>
      </c>
      <c r="AF40" s="12">
        <v>0</v>
      </c>
      <c r="AG40" s="12">
        <v>2</v>
      </c>
      <c r="AH40" s="12">
        <v>31</v>
      </c>
      <c r="AI40" s="12">
        <v>2</v>
      </c>
    </row>
    <row r="41" spans="1:35" x14ac:dyDescent="0.25">
      <c r="A41" s="12">
        <v>2012</v>
      </c>
      <c r="B41" s="148" t="s">
        <v>169</v>
      </c>
      <c r="C41" s="12">
        <v>7</v>
      </c>
      <c r="D41" s="12">
        <v>0</v>
      </c>
      <c r="E41" s="12">
        <v>0</v>
      </c>
      <c r="F41" s="12">
        <v>2</v>
      </c>
      <c r="G41" s="12">
        <v>16</v>
      </c>
      <c r="H41" s="12">
        <v>4</v>
      </c>
      <c r="J41" s="12">
        <v>2023</v>
      </c>
      <c r="K41" s="148" t="s">
        <v>73</v>
      </c>
      <c r="L41" s="12">
        <v>14</v>
      </c>
      <c r="M41" s="12">
        <v>0</v>
      </c>
      <c r="N41" s="12">
        <v>0</v>
      </c>
      <c r="O41" s="12">
        <v>1</v>
      </c>
      <c r="P41" s="12">
        <v>15</v>
      </c>
      <c r="Q41" s="12">
        <v>2</v>
      </c>
      <c r="AB41" s="12">
        <v>2020</v>
      </c>
      <c r="AC41" s="148" t="s">
        <v>59</v>
      </c>
      <c r="AD41" s="12">
        <v>5</v>
      </c>
      <c r="AE41" s="12">
        <v>0</v>
      </c>
      <c r="AF41" s="12">
        <v>0</v>
      </c>
      <c r="AG41" s="12">
        <v>0</v>
      </c>
      <c r="AH41" s="12">
        <v>31</v>
      </c>
      <c r="AI41" s="12">
        <v>1</v>
      </c>
    </row>
    <row r="42" spans="1:35" x14ac:dyDescent="0.25">
      <c r="A42" s="12">
        <v>2019</v>
      </c>
      <c r="B42" s="148" t="s">
        <v>86</v>
      </c>
      <c r="C42" s="12">
        <v>8</v>
      </c>
      <c r="D42" s="12">
        <v>0</v>
      </c>
      <c r="E42" s="12">
        <v>0</v>
      </c>
      <c r="F42" s="12">
        <v>1</v>
      </c>
      <c r="G42" s="12">
        <v>16</v>
      </c>
      <c r="H42" s="12">
        <v>2</v>
      </c>
      <c r="J42" s="12">
        <v>2017</v>
      </c>
      <c r="K42" s="148" t="s">
        <v>43</v>
      </c>
      <c r="L42" s="12">
        <v>13</v>
      </c>
      <c r="M42" s="12">
        <v>0</v>
      </c>
      <c r="N42" s="12">
        <v>0</v>
      </c>
      <c r="O42" s="12">
        <v>9</v>
      </c>
      <c r="P42" s="12">
        <v>15</v>
      </c>
      <c r="Q42" s="12">
        <v>3</v>
      </c>
      <c r="AB42" s="12">
        <v>2022</v>
      </c>
      <c r="AC42" s="148" t="s">
        <v>87</v>
      </c>
      <c r="AD42" s="12">
        <v>3</v>
      </c>
      <c r="AE42" s="12">
        <v>0</v>
      </c>
      <c r="AF42" s="12">
        <v>0</v>
      </c>
      <c r="AG42" s="12">
        <v>0</v>
      </c>
      <c r="AH42" s="12">
        <v>31</v>
      </c>
      <c r="AI42" s="12">
        <v>2</v>
      </c>
    </row>
    <row r="43" spans="1:35" x14ac:dyDescent="0.25">
      <c r="A43" s="12">
        <v>2017</v>
      </c>
      <c r="B43" s="148" t="s">
        <v>119</v>
      </c>
      <c r="C43" s="12">
        <v>10</v>
      </c>
      <c r="D43" s="12">
        <v>0</v>
      </c>
      <c r="E43" s="12">
        <v>0</v>
      </c>
      <c r="F43" s="12">
        <v>1</v>
      </c>
      <c r="G43" s="12">
        <v>16</v>
      </c>
      <c r="H43" s="12">
        <v>3</v>
      </c>
      <c r="J43" s="12">
        <v>2015</v>
      </c>
      <c r="K43" s="148" t="s">
        <v>147</v>
      </c>
      <c r="L43" s="12">
        <v>13</v>
      </c>
      <c r="M43" s="12">
        <v>0</v>
      </c>
      <c r="N43" s="12">
        <v>0</v>
      </c>
      <c r="O43" s="12">
        <v>0</v>
      </c>
      <c r="P43" s="12">
        <v>15</v>
      </c>
      <c r="Q43" s="12">
        <v>4</v>
      </c>
      <c r="AB43" s="12">
        <v>2022</v>
      </c>
      <c r="AC43" s="148" t="s">
        <v>89</v>
      </c>
      <c r="AD43" s="12">
        <v>2</v>
      </c>
      <c r="AE43" s="12">
        <v>0</v>
      </c>
      <c r="AF43" s="12">
        <v>0</v>
      </c>
      <c r="AG43" s="12">
        <v>0</v>
      </c>
      <c r="AH43" s="12">
        <v>31</v>
      </c>
      <c r="AI43" s="12">
        <v>2</v>
      </c>
    </row>
    <row r="44" spans="1:35" x14ac:dyDescent="0.25">
      <c r="A44" s="12">
        <v>2017</v>
      </c>
      <c r="B44" s="148" t="s">
        <v>123</v>
      </c>
      <c r="C44" s="12">
        <v>7</v>
      </c>
      <c r="D44" s="12">
        <v>0</v>
      </c>
      <c r="E44" s="12">
        <v>0</v>
      </c>
      <c r="F44" s="12">
        <v>1</v>
      </c>
      <c r="G44" s="12">
        <v>16</v>
      </c>
      <c r="H44" s="12">
        <v>3</v>
      </c>
      <c r="J44" s="12">
        <v>2015</v>
      </c>
      <c r="K44" s="148" t="s">
        <v>134</v>
      </c>
      <c r="L44" s="12">
        <v>11</v>
      </c>
      <c r="M44" s="12">
        <v>0</v>
      </c>
      <c r="N44" s="12">
        <v>0</v>
      </c>
      <c r="O44" s="12">
        <v>3</v>
      </c>
      <c r="P44" s="12">
        <v>15</v>
      </c>
      <c r="Q44" s="12">
        <v>4</v>
      </c>
      <c r="AB44" s="12">
        <v>2019</v>
      </c>
      <c r="AC44" s="148" t="s">
        <v>59</v>
      </c>
      <c r="AD44" s="12">
        <v>24</v>
      </c>
      <c r="AE44" s="12">
        <v>0</v>
      </c>
      <c r="AF44" s="12">
        <v>0</v>
      </c>
      <c r="AG44" s="12">
        <v>1</v>
      </c>
      <c r="AH44" s="12">
        <v>30</v>
      </c>
      <c r="AI44" s="12">
        <v>2</v>
      </c>
    </row>
    <row r="45" spans="1:35" x14ac:dyDescent="0.25">
      <c r="A45" s="12">
        <v>2016</v>
      </c>
      <c r="B45" s="148" t="s">
        <v>140</v>
      </c>
      <c r="C45" s="12">
        <v>6</v>
      </c>
      <c r="D45" s="12">
        <v>0</v>
      </c>
      <c r="E45" s="12">
        <v>0</v>
      </c>
      <c r="F45" s="12">
        <v>1</v>
      </c>
      <c r="G45" s="12">
        <v>16</v>
      </c>
      <c r="H45" s="12">
        <v>4</v>
      </c>
      <c r="J45" s="12">
        <v>2015</v>
      </c>
      <c r="K45" s="148" t="s">
        <v>140</v>
      </c>
      <c r="L45" s="12">
        <v>11</v>
      </c>
      <c r="M45" s="12">
        <v>0</v>
      </c>
      <c r="N45" s="12">
        <v>0</v>
      </c>
      <c r="O45" s="12">
        <v>0</v>
      </c>
      <c r="P45" s="12">
        <v>15</v>
      </c>
      <c r="Q45" s="12">
        <v>4</v>
      </c>
      <c r="AB45" s="12">
        <v>2021</v>
      </c>
      <c r="AC45" s="148" t="s">
        <v>34</v>
      </c>
      <c r="AD45" s="12">
        <v>11</v>
      </c>
      <c r="AE45" s="12">
        <v>0</v>
      </c>
      <c r="AF45" s="12">
        <v>0</v>
      </c>
      <c r="AG45" s="12">
        <v>4</v>
      </c>
      <c r="AH45" s="12">
        <v>30</v>
      </c>
      <c r="AI45" s="12">
        <v>2</v>
      </c>
    </row>
    <row r="46" spans="1:35" x14ac:dyDescent="0.25">
      <c r="A46" s="12">
        <v>2015</v>
      </c>
      <c r="B46" s="148" t="s">
        <v>151</v>
      </c>
      <c r="C46" s="12">
        <v>11</v>
      </c>
      <c r="D46" s="12">
        <v>0</v>
      </c>
      <c r="E46" s="12">
        <v>0</v>
      </c>
      <c r="F46" s="12">
        <v>1</v>
      </c>
      <c r="G46" s="12">
        <v>16</v>
      </c>
      <c r="H46" s="12">
        <v>4</v>
      </c>
      <c r="J46" s="12">
        <v>2015</v>
      </c>
      <c r="K46" s="148" t="s">
        <v>152</v>
      </c>
      <c r="L46" s="12">
        <v>11</v>
      </c>
      <c r="M46" s="12">
        <v>0</v>
      </c>
      <c r="N46" s="12">
        <v>0</v>
      </c>
      <c r="O46" s="12">
        <v>0</v>
      </c>
      <c r="P46" s="12">
        <v>15</v>
      </c>
      <c r="Q46" s="12">
        <v>4</v>
      </c>
      <c r="AB46" s="12">
        <v>2023</v>
      </c>
      <c r="AC46" s="148" t="s">
        <v>50</v>
      </c>
      <c r="AD46" s="12">
        <v>8</v>
      </c>
      <c r="AE46" s="12">
        <v>0</v>
      </c>
      <c r="AF46" s="12">
        <v>0</v>
      </c>
      <c r="AG46" s="12">
        <v>0</v>
      </c>
      <c r="AH46" s="12">
        <v>30</v>
      </c>
      <c r="AI46" s="12">
        <v>2</v>
      </c>
    </row>
    <row r="47" spans="1:35" x14ac:dyDescent="0.25">
      <c r="A47" s="12">
        <v>2014</v>
      </c>
      <c r="B47" s="148" t="s">
        <v>158</v>
      </c>
      <c r="C47" s="12">
        <v>1</v>
      </c>
      <c r="D47" s="12">
        <v>0</v>
      </c>
      <c r="E47" s="12">
        <v>0</v>
      </c>
      <c r="F47" s="12">
        <v>1</v>
      </c>
      <c r="G47" s="12">
        <v>16</v>
      </c>
      <c r="H47" s="12">
        <v>4</v>
      </c>
      <c r="J47" s="12">
        <v>2019</v>
      </c>
      <c r="K47" s="148" t="s">
        <v>71</v>
      </c>
      <c r="L47" s="12">
        <v>10</v>
      </c>
      <c r="M47" s="12">
        <v>0</v>
      </c>
      <c r="N47" s="12">
        <v>0</v>
      </c>
      <c r="O47" s="12">
        <v>0</v>
      </c>
      <c r="P47" s="12">
        <v>15</v>
      </c>
      <c r="Q47" s="12">
        <v>2</v>
      </c>
      <c r="AB47" s="12">
        <v>2019</v>
      </c>
      <c r="AC47" s="148" t="s">
        <v>109</v>
      </c>
      <c r="AD47" s="12">
        <v>7</v>
      </c>
      <c r="AE47" s="12">
        <v>0</v>
      </c>
      <c r="AF47" s="12">
        <v>0</v>
      </c>
      <c r="AG47" s="12">
        <v>0</v>
      </c>
      <c r="AH47" s="12">
        <v>30</v>
      </c>
      <c r="AI47" s="12">
        <v>2</v>
      </c>
    </row>
    <row r="48" spans="1:35" x14ac:dyDescent="0.25">
      <c r="A48" s="12">
        <v>2013</v>
      </c>
      <c r="B48" s="148" t="s">
        <v>84</v>
      </c>
      <c r="C48" s="12">
        <v>14</v>
      </c>
      <c r="D48" s="12">
        <v>0</v>
      </c>
      <c r="E48" s="12">
        <v>0</v>
      </c>
      <c r="F48" s="12">
        <v>1</v>
      </c>
      <c r="G48" s="12">
        <v>16</v>
      </c>
      <c r="H48" s="12">
        <v>4</v>
      </c>
      <c r="J48" s="12">
        <v>2017</v>
      </c>
      <c r="K48" s="148" t="s">
        <v>56</v>
      </c>
      <c r="L48" s="12">
        <v>9</v>
      </c>
      <c r="M48" s="12">
        <v>0</v>
      </c>
      <c r="N48" s="12">
        <v>0</v>
      </c>
      <c r="O48" s="12">
        <v>0</v>
      </c>
      <c r="P48" s="12">
        <v>15</v>
      </c>
      <c r="Q48" s="12">
        <v>3</v>
      </c>
    </row>
    <row r="49" spans="1:17" x14ac:dyDescent="0.25">
      <c r="A49" s="12">
        <v>2012</v>
      </c>
      <c r="B49" s="148" t="s">
        <v>167</v>
      </c>
      <c r="C49" s="12">
        <v>17</v>
      </c>
      <c r="D49" s="12">
        <v>0</v>
      </c>
      <c r="E49" s="12">
        <v>0</v>
      </c>
      <c r="F49" s="12">
        <v>1</v>
      </c>
      <c r="G49" s="12">
        <v>16</v>
      </c>
      <c r="H49" s="12">
        <v>4</v>
      </c>
      <c r="J49" s="12">
        <v>2015</v>
      </c>
      <c r="K49" s="148" t="s">
        <v>132</v>
      </c>
      <c r="L49" s="12">
        <v>9</v>
      </c>
      <c r="M49" s="12">
        <v>0</v>
      </c>
      <c r="N49" s="12">
        <v>0</v>
      </c>
      <c r="O49" s="12">
        <v>0</v>
      </c>
      <c r="P49" s="12">
        <v>15</v>
      </c>
      <c r="Q49" s="12">
        <v>4</v>
      </c>
    </row>
    <row r="50" spans="1:17" x14ac:dyDescent="0.25">
      <c r="A50" s="12">
        <v>2012</v>
      </c>
      <c r="B50" s="148" t="s">
        <v>177</v>
      </c>
      <c r="C50" s="12">
        <v>15</v>
      </c>
      <c r="D50" s="12">
        <v>0</v>
      </c>
      <c r="E50" s="12">
        <v>0</v>
      </c>
      <c r="F50" s="12">
        <v>1</v>
      </c>
      <c r="G50" s="12">
        <v>16</v>
      </c>
      <c r="H50" s="12">
        <v>4</v>
      </c>
      <c r="J50" s="12">
        <v>2012</v>
      </c>
      <c r="K50" s="148" t="s">
        <v>171</v>
      </c>
      <c r="L50" s="12">
        <v>9</v>
      </c>
      <c r="M50" s="12">
        <v>0</v>
      </c>
      <c r="N50" s="12">
        <v>0</v>
      </c>
      <c r="O50" s="12">
        <v>0</v>
      </c>
      <c r="P50" s="12">
        <v>15</v>
      </c>
      <c r="Q50" s="12">
        <v>4</v>
      </c>
    </row>
    <row r="51" spans="1:17" x14ac:dyDescent="0.25">
      <c r="J51" s="12">
        <v>2013</v>
      </c>
      <c r="K51" s="148" t="s">
        <v>164</v>
      </c>
      <c r="L51" s="12">
        <v>7</v>
      </c>
      <c r="M51" s="12">
        <v>0</v>
      </c>
      <c r="N51" s="12">
        <v>0</v>
      </c>
      <c r="O51" s="12">
        <v>0</v>
      </c>
      <c r="P51" s="12">
        <v>15</v>
      </c>
      <c r="Q51" s="12">
        <v>4</v>
      </c>
    </row>
    <row r="52" spans="1:17" x14ac:dyDescent="0.25">
      <c r="J52" s="12">
        <v>2016</v>
      </c>
      <c r="K52" s="148" t="s">
        <v>97</v>
      </c>
      <c r="L52" s="12">
        <v>6</v>
      </c>
      <c r="M52" s="12">
        <v>0</v>
      </c>
      <c r="N52" s="12">
        <v>0</v>
      </c>
      <c r="O52" s="12">
        <v>1</v>
      </c>
      <c r="P52" s="12">
        <v>15</v>
      </c>
      <c r="Q52" s="12">
        <v>4</v>
      </c>
    </row>
    <row r="53" spans="1:17" x14ac:dyDescent="0.25">
      <c r="J53" s="12">
        <v>2019</v>
      </c>
      <c r="K53" s="148" t="s">
        <v>80</v>
      </c>
      <c r="L53" s="12">
        <v>6</v>
      </c>
      <c r="M53" s="12">
        <v>0</v>
      </c>
      <c r="N53" s="12">
        <v>0</v>
      </c>
      <c r="O53" s="12">
        <v>0</v>
      </c>
      <c r="P53" s="12">
        <v>15</v>
      </c>
      <c r="Q53" s="12">
        <v>2</v>
      </c>
    </row>
    <row r="54" spans="1:17" x14ac:dyDescent="0.25">
      <c r="J54" s="12">
        <v>2013</v>
      </c>
      <c r="K54" s="148" t="s">
        <v>161</v>
      </c>
      <c r="L54" s="12">
        <v>6</v>
      </c>
      <c r="M54" s="12">
        <v>0</v>
      </c>
      <c r="N54" s="12">
        <v>0</v>
      </c>
      <c r="O54" s="12">
        <v>0</v>
      </c>
      <c r="P54" s="12">
        <v>15</v>
      </c>
      <c r="Q54" s="12">
        <v>4</v>
      </c>
    </row>
    <row r="55" spans="1:17" x14ac:dyDescent="0.25">
      <c r="J55" s="12">
        <v>2014</v>
      </c>
      <c r="K55" s="148" t="s">
        <v>173</v>
      </c>
      <c r="L55" s="12">
        <v>5</v>
      </c>
      <c r="M55" s="12">
        <v>0</v>
      </c>
      <c r="N55" s="12">
        <v>0</v>
      </c>
      <c r="O55" s="12">
        <v>1</v>
      </c>
      <c r="P55" s="12">
        <v>15</v>
      </c>
      <c r="Q55" s="12">
        <v>4</v>
      </c>
    </row>
    <row r="56" spans="1:17" x14ac:dyDescent="0.25">
      <c r="J56" s="12">
        <v>2015</v>
      </c>
      <c r="K56" s="148" t="s">
        <v>160</v>
      </c>
      <c r="L56" s="12">
        <v>4</v>
      </c>
      <c r="M56" s="12">
        <v>0</v>
      </c>
      <c r="N56" s="12">
        <v>0</v>
      </c>
      <c r="O56" s="12">
        <v>0</v>
      </c>
      <c r="P56" s="12">
        <v>15</v>
      </c>
      <c r="Q56" s="12">
        <v>4</v>
      </c>
    </row>
    <row r="57" spans="1:17" x14ac:dyDescent="0.25">
      <c r="J57" s="12">
        <v>2014</v>
      </c>
      <c r="K57" s="148" t="s">
        <v>150</v>
      </c>
      <c r="L57" s="12">
        <v>4</v>
      </c>
      <c r="M57" s="12">
        <v>0</v>
      </c>
      <c r="N57" s="12">
        <v>0</v>
      </c>
      <c r="O57" s="12">
        <v>0</v>
      </c>
      <c r="P57" s="12">
        <v>15</v>
      </c>
      <c r="Q57" s="12">
        <v>4</v>
      </c>
    </row>
    <row r="58" spans="1:17" x14ac:dyDescent="0.25">
      <c r="J58" s="12">
        <v>2016</v>
      </c>
      <c r="K58" s="148" t="s">
        <v>104</v>
      </c>
      <c r="L58" s="12">
        <v>3</v>
      </c>
      <c r="M58" s="12">
        <v>0</v>
      </c>
      <c r="N58" s="12">
        <v>0</v>
      </c>
      <c r="O58" s="12">
        <v>0</v>
      </c>
      <c r="P58" s="12">
        <v>15</v>
      </c>
      <c r="Q58" s="12">
        <v>4</v>
      </c>
    </row>
    <row r="59" spans="1:17" x14ac:dyDescent="0.25">
      <c r="J59" s="12">
        <v>2015</v>
      </c>
      <c r="K59" s="148" t="s">
        <v>163</v>
      </c>
      <c r="L59" s="12">
        <v>3</v>
      </c>
      <c r="M59" s="12">
        <v>0</v>
      </c>
      <c r="N59" s="12">
        <v>0</v>
      </c>
      <c r="O59" s="12">
        <v>0</v>
      </c>
      <c r="P59" s="12">
        <v>15</v>
      </c>
      <c r="Q59" s="12">
        <v>4</v>
      </c>
    </row>
    <row r="60" spans="1:17" x14ac:dyDescent="0.25">
      <c r="J60" s="12">
        <v>2016</v>
      </c>
      <c r="K60" s="148" t="s">
        <v>64</v>
      </c>
      <c r="L60" s="12">
        <v>2</v>
      </c>
      <c r="M60" s="12">
        <v>0</v>
      </c>
      <c r="N60" s="12">
        <v>0</v>
      </c>
      <c r="O60" s="12">
        <v>4</v>
      </c>
      <c r="P60" s="12">
        <v>15</v>
      </c>
      <c r="Q60" s="12">
        <v>4</v>
      </c>
    </row>
    <row r="61" spans="1:17" x14ac:dyDescent="0.25">
      <c r="J61" s="12">
        <v>2026</v>
      </c>
      <c r="K61" s="148" t="s">
        <v>383</v>
      </c>
      <c r="L61" s="12">
        <v>2</v>
      </c>
      <c r="M61" s="12">
        <v>0</v>
      </c>
      <c r="N61" s="12">
        <v>0</v>
      </c>
      <c r="O61" s="12">
        <v>2</v>
      </c>
      <c r="P61" s="12">
        <v>15</v>
      </c>
      <c r="Q61" s="12">
        <v>4</v>
      </c>
    </row>
    <row r="62" spans="1:17" x14ac:dyDescent="0.25">
      <c r="J62" s="12">
        <v>2024</v>
      </c>
      <c r="K62" s="148" t="s">
        <v>24</v>
      </c>
      <c r="L62" s="12">
        <v>2</v>
      </c>
      <c r="M62" s="12">
        <v>0</v>
      </c>
      <c r="N62" s="12">
        <v>0</v>
      </c>
      <c r="O62" s="12">
        <v>0</v>
      </c>
      <c r="P62" s="12">
        <v>15</v>
      </c>
      <c r="Q62" s="12">
        <v>2</v>
      </c>
    </row>
    <row r="63" spans="1:17" x14ac:dyDescent="0.25">
      <c r="J63" s="12">
        <v>2016</v>
      </c>
      <c r="K63" s="148" t="s">
        <v>119</v>
      </c>
      <c r="L63" s="12">
        <v>2</v>
      </c>
      <c r="M63" s="12">
        <v>0</v>
      </c>
      <c r="N63" s="12">
        <v>0</v>
      </c>
      <c r="O63" s="12">
        <v>0</v>
      </c>
      <c r="P63" s="12">
        <v>15</v>
      </c>
      <c r="Q63" s="12">
        <v>4</v>
      </c>
    </row>
    <row r="64" spans="1:17" x14ac:dyDescent="0.25">
      <c r="J64" s="12">
        <v>2016</v>
      </c>
      <c r="K64" s="148" t="s">
        <v>144</v>
      </c>
      <c r="L64" s="12">
        <v>2</v>
      </c>
      <c r="M64" s="12">
        <v>0</v>
      </c>
      <c r="N64" s="12">
        <v>0</v>
      </c>
      <c r="O64" s="12">
        <v>0</v>
      </c>
      <c r="P64" s="12">
        <v>15</v>
      </c>
      <c r="Q64" s="12">
        <v>4</v>
      </c>
    </row>
    <row r="65" spans="10:17" x14ac:dyDescent="0.25">
      <c r="J65" s="12">
        <v>2015</v>
      </c>
      <c r="K65" s="148" t="s">
        <v>166</v>
      </c>
      <c r="L65" s="12">
        <v>2</v>
      </c>
      <c r="M65" s="12">
        <v>0</v>
      </c>
      <c r="N65" s="12">
        <v>0</v>
      </c>
      <c r="O65" s="12">
        <v>0</v>
      </c>
      <c r="P65" s="12">
        <v>15</v>
      </c>
      <c r="Q65" s="12">
        <v>4</v>
      </c>
    </row>
    <row r="66" spans="10:17" x14ac:dyDescent="0.25">
      <c r="J66" s="12">
        <v>2014</v>
      </c>
      <c r="K66" s="148" t="s">
        <v>156</v>
      </c>
      <c r="L66" s="12">
        <v>2</v>
      </c>
      <c r="M66" s="12">
        <v>0</v>
      </c>
      <c r="N66" s="12">
        <v>0</v>
      </c>
      <c r="O66" s="12">
        <v>0</v>
      </c>
      <c r="P66" s="12">
        <v>15</v>
      </c>
      <c r="Q66" s="12">
        <v>4</v>
      </c>
    </row>
    <row r="67" spans="10:17" x14ac:dyDescent="0.25">
      <c r="J67" s="12">
        <v>2026</v>
      </c>
      <c r="K67" s="148" t="s">
        <v>409</v>
      </c>
      <c r="L67" s="12">
        <v>1</v>
      </c>
      <c r="M67" s="12">
        <v>0</v>
      </c>
      <c r="N67" s="12">
        <v>0</v>
      </c>
      <c r="O67" s="12">
        <v>0</v>
      </c>
      <c r="P67" s="12">
        <v>15</v>
      </c>
      <c r="Q67" s="12">
        <v>4</v>
      </c>
    </row>
    <row r="68" spans="10:17" x14ac:dyDescent="0.25">
      <c r="J68" s="12">
        <v>2025</v>
      </c>
      <c r="K68" s="148" t="s">
        <v>52</v>
      </c>
      <c r="L68" s="12">
        <v>1</v>
      </c>
      <c r="M68" s="12">
        <v>0</v>
      </c>
      <c r="N68" s="12">
        <v>0</v>
      </c>
      <c r="O68" s="12">
        <v>0</v>
      </c>
      <c r="P68" s="12">
        <v>15</v>
      </c>
      <c r="Q68" s="12">
        <v>2</v>
      </c>
    </row>
    <row r="69" spans="10:17" x14ac:dyDescent="0.25">
      <c r="J69" s="12">
        <v>2025</v>
      </c>
      <c r="K69" s="148" t="s">
        <v>35</v>
      </c>
      <c r="L69" s="12">
        <v>1</v>
      </c>
      <c r="M69" s="12">
        <v>0</v>
      </c>
      <c r="N69" s="12">
        <v>0</v>
      </c>
      <c r="O69" s="12">
        <v>0</v>
      </c>
      <c r="P69" s="12">
        <v>15</v>
      </c>
      <c r="Q69" s="12">
        <v>2</v>
      </c>
    </row>
    <row r="70" spans="10:17" x14ac:dyDescent="0.25">
      <c r="J70" s="12">
        <v>2025</v>
      </c>
      <c r="K70" s="148" t="s">
        <v>54</v>
      </c>
      <c r="L70" s="12">
        <v>1</v>
      </c>
      <c r="M70" s="12">
        <v>0</v>
      </c>
      <c r="N70" s="12">
        <v>0</v>
      </c>
      <c r="O70" s="12">
        <v>0</v>
      </c>
      <c r="P70" s="12">
        <v>15</v>
      </c>
      <c r="Q70" s="12">
        <v>2</v>
      </c>
    </row>
    <row r="71" spans="10:17" x14ac:dyDescent="0.25">
      <c r="J71" s="12">
        <v>2025</v>
      </c>
      <c r="K71" s="148" t="s">
        <v>55</v>
      </c>
      <c r="L71" s="12">
        <v>1</v>
      </c>
      <c r="M71" s="12">
        <v>0</v>
      </c>
      <c r="N71" s="12">
        <v>0</v>
      </c>
      <c r="O71" s="12">
        <v>0</v>
      </c>
      <c r="P71" s="12">
        <v>15</v>
      </c>
      <c r="Q71" s="12">
        <v>2</v>
      </c>
    </row>
    <row r="72" spans="10:17" x14ac:dyDescent="0.25">
      <c r="J72" s="12">
        <v>2024</v>
      </c>
      <c r="K72" s="148" t="s">
        <v>45</v>
      </c>
      <c r="L72" s="12">
        <v>1</v>
      </c>
      <c r="M72" s="12">
        <v>0</v>
      </c>
      <c r="N72" s="12">
        <v>0</v>
      </c>
      <c r="O72" s="12">
        <v>0</v>
      </c>
      <c r="P72" s="12">
        <v>15</v>
      </c>
      <c r="Q72" s="12">
        <v>2</v>
      </c>
    </row>
    <row r="73" spans="10:17" x14ac:dyDescent="0.25">
      <c r="J73" s="12">
        <v>2023</v>
      </c>
      <c r="K73" s="148" t="s">
        <v>65</v>
      </c>
      <c r="L73" s="12">
        <v>1</v>
      </c>
      <c r="M73" s="12">
        <v>0</v>
      </c>
      <c r="N73" s="12">
        <v>0</v>
      </c>
      <c r="O73" s="12">
        <v>0</v>
      </c>
      <c r="P73" s="12">
        <v>15</v>
      </c>
      <c r="Q73" s="12">
        <v>2</v>
      </c>
    </row>
    <row r="74" spans="10:17" x14ac:dyDescent="0.25">
      <c r="J74" s="12">
        <v>2022</v>
      </c>
      <c r="K74" s="148" t="s">
        <v>29</v>
      </c>
      <c r="L74" s="12">
        <v>1</v>
      </c>
      <c r="M74" s="12">
        <v>0</v>
      </c>
      <c r="N74" s="12">
        <v>0</v>
      </c>
      <c r="O74" s="12">
        <v>0</v>
      </c>
      <c r="P74" s="12">
        <v>15</v>
      </c>
      <c r="Q74" s="12">
        <v>2</v>
      </c>
    </row>
    <row r="75" spans="10:17" x14ac:dyDescent="0.25">
      <c r="J75" s="12">
        <v>2020</v>
      </c>
      <c r="K75" s="148" t="s">
        <v>103</v>
      </c>
      <c r="L75" s="12">
        <v>1</v>
      </c>
      <c r="M75" s="12">
        <v>0</v>
      </c>
      <c r="N75" s="12">
        <v>0</v>
      </c>
      <c r="O75" s="12">
        <v>0</v>
      </c>
      <c r="P75" s="12">
        <v>15</v>
      </c>
      <c r="Q75" s="12">
        <v>1</v>
      </c>
    </row>
    <row r="76" spans="10:17" x14ac:dyDescent="0.25">
      <c r="J76" s="12">
        <v>2017</v>
      </c>
      <c r="K76" s="148" t="s">
        <v>128</v>
      </c>
      <c r="L76" s="12">
        <v>1</v>
      </c>
      <c r="M76" s="12">
        <v>0</v>
      </c>
      <c r="N76" s="12">
        <v>0</v>
      </c>
      <c r="O76" s="12">
        <v>0</v>
      </c>
      <c r="P76" s="12">
        <v>15</v>
      </c>
      <c r="Q76" s="12">
        <v>3</v>
      </c>
    </row>
    <row r="77" spans="10:17" x14ac:dyDescent="0.25">
      <c r="J77" s="12">
        <v>2016</v>
      </c>
      <c r="K77" s="148" t="s">
        <v>146</v>
      </c>
      <c r="L77" s="12">
        <v>1</v>
      </c>
      <c r="M77" s="12">
        <v>0</v>
      </c>
      <c r="N77" s="12">
        <v>0</v>
      </c>
      <c r="O77" s="12">
        <v>0</v>
      </c>
      <c r="P77" s="12">
        <v>15</v>
      </c>
      <c r="Q77" s="12">
        <v>4</v>
      </c>
    </row>
    <row r="78" spans="10:17" x14ac:dyDescent="0.25">
      <c r="J78" s="12">
        <v>2016</v>
      </c>
      <c r="K78" s="148" t="s">
        <v>96</v>
      </c>
      <c r="L78" s="12">
        <v>1</v>
      </c>
      <c r="M78" s="12">
        <v>0</v>
      </c>
      <c r="N78" s="12">
        <v>0</v>
      </c>
      <c r="O78" s="12">
        <v>0</v>
      </c>
      <c r="P78" s="12">
        <v>15</v>
      </c>
      <c r="Q78" s="12">
        <v>4</v>
      </c>
    </row>
    <row r="79" spans="10:17" x14ac:dyDescent="0.25">
      <c r="J79" s="12">
        <v>2014</v>
      </c>
      <c r="K79" s="148" t="s">
        <v>151</v>
      </c>
      <c r="L79" s="12">
        <v>1</v>
      </c>
      <c r="M79" s="12">
        <v>0</v>
      </c>
      <c r="N79" s="12">
        <v>0</v>
      </c>
      <c r="O79" s="12">
        <v>0</v>
      </c>
      <c r="P79" s="12">
        <v>15</v>
      </c>
      <c r="Q79" s="12">
        <v>4</v>
      </c>
    </row>
    <row r="80" spans="10:17" x14ac:dyDescent="0.25">
      <c r="J80" s="12">
        <v>2011</v>
      </c>
      <c r="K80" s="148" t="s">
        <v>135</v>
      </c>
      <c r="L80" s="12">
        <v>1</v>
      </c>
      <c r="M80" s="12">
        <v>0</v>
      </c>
      <c r="N80" s="12">
        <v>0</v>
      </c>
      <c r="O80" s="12">
        <v>0</v>
      </c>
      <c r="P80" s="12">
        <v>15</v>
      </c>
      <c r="Q80" s="12">
        <v>3</v>
      </c>
    </row>
  </sheetData>
  <mergeCells count="4">
    <mergeCell ref="A12:H12"/>
    <mergeCell ref="J12:Q12"/>
    <mergeCell ref="S12:Z12"/>
    <mergeCell ref="AB12:AI12"/>
  </mergeCells>
  <conditionalFormatting sqref="H14:H5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:G50">
    <cfRule type="colorScale" priority="11">
      <colorScale>
        <cfvo type="min"/>
        <cfvo type="max"/>
        <color rgb="FF63BE7B"/>
        <color rgb="FFFCFCFF"/>
      </colorScale>
    </cfRule>
  </conditionalFormatting>
  <conditionalFormatting sqref="F14:F50">
    <cfRule type="colorScale" priority="10">
      <colorScale>
        <cfvo type="min"/>
        <cfvo type="max"/>
        <color rgb="FFFCFCFF"/>
        <color rgb="FF63BE7B"/>
      </colorScale>
    </cfRule>
  </conditionalFormatting>
  <conditionalFormatting sqref="Q14:Q80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14:P80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4:L80">
    <cfRule type="colorScale" priority="7">
      <colorScale>
        <cfvo type="min"/>
        <cfvo type="max"/>
        <color rgb="FFFCFCFF"/>
        <color rgb="FF63BE7B"/>
      </colorScale>
    </cfRule>
  </conditionalFormatting>
  <conditionalFormatting sqref="Z14:Z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14:Y3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:X3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4:AI4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14:AH4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14:AD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  <tableParts count="4">
    <tablePart r:id="rId2"/>
    <tablePart r:id="rId3"/>
    <tablePart r:id="rId4"/>
    <tablePart r:id="rId5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6"/>
      </x14:slicerList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A3A5-2547-48D6-9B3B-FDFF15905A9C}">
  <dimension ref="A1:AA181"/>
  <sheetViews>
    <sheetView workbookViewId="0">
      <selection activeCell="AC1" sqref="AC1:AC1048576"/>
    </sheetView>
  </sheetViews>
  <sheetFormatPr defaultRowHeight="10.199999999999999" x14ac:dyDescent="0.2"/>
  <cols>
    <col min="2" max="2" width="20.42578125" bestFit="1" customWidth="1"/>
    <col min="3" max="13" width="4.42578125" customWidth="1"/>
    <col min="15" max="16" width="5.42578125" style="1" customWidth="1"/>
    <col min="17" max="17" width="20.42578125" bestFit="1" customWidth="1"/>
    <col min="18" max="18" width="10.42578125" style="1" customWidth="1"/>
    <col min="19" max="19" width="10.42578125" style="5" customWidth="1"/>
    <col min="20" max="23" width="10.42578125" style="1" customWidth="1"/>
    <col min="24" max="26" width="9" style="1"/>
  </cols>
  <sheetData>
    <row r="1" spans="1:27" ht="38.1" customHeight="1" x14ac:dyDescent="0.2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O1" s="1" t="s">
        <v>10</v>
      </c>
      <c r="P1" s="1" t="s">
        <v>6</v>
      </c>
      <c r="Q1" s="6" t="s">
        <v>5</v>
      </c>
      <c r="R1" s="24" t="s">
        <v>6</v>
      </c>
      <c r="S1" s="25" t="s">
        <v>7</v>
      </c>
      <c r="T1" s="24" t="s">
        <v>8</v>
      </c>
      <c r="U1" s="24" t="s">
        <v>9</v>
      </c>
      <c r="V1" s="24" t="s">
        <v>10</v>
      </c>
      <c r="W1" s="24" t="s">
        <v>11</v>
      </c>
      <c r="X1" s="24" t="s">
        <v>379</v>
      </c>
      <c r="Y1" s="24" t="s">
        <v>215</v>
      </c>
      <c r="Z1" s="24" t="s">
        <v>380</v>
      </c>
      <c r="AA1" s="26" t="s">
        <v>381</v>
      </c>
    </row>
    <row r="2" spans="1:27" x14ac:dyDescent="0.2">
      <c r="A2">
        <v>2024</v>
      </c>
      <c r="B2" t="s">
        <v>29</v>
      </c>
      <c r="C2">
        <v>28</v>
      </c>
      <c r="D2">
        <v>1</v>
      </c>
      <c r="E2">
        <v>1</v>
      </c>
      <c r="F2">
        <v>0</v>
      </c>
      <c r="G2">
        <v>9</v>
      </c>
      <c r="H2">
        <v>28</v>
      </c>
      <c r="I2">
        <v>0.32142857142857145</v>
      </c>
      <c r="J2">
        <v>2024</v>
      </c>
      <c r="K2">
        <v>2007</v>
      </c>
      <c r="L2">
        <v>17</v>
      </c>
      <c r="M2">
        <v>2</v>
      </c>
      <c r="O2" s="10">
        <f>Tabell15[[#This Row],[RANK MÅL]]</f>
        <v>21</v>
      </c>
      <c r="P2" s="10">
        <f>Tabell15[[#This Row],[RANK MAT]]</f>
        <v>32</v>
      </c>
      <c r="Q2" t="s">
        <v>32</v>
      </c>
      <c r="R2" s="1">
        <f>SUMIF(B:B,Tabell15[[#This Row],[Namn]],C:C)</f>
        <v>24</v>
      </c>
      <c r="S2" s="5">
        <f>Tabell15[[#This Row],[MAT]]/Tabell15[[#This Row],[LAG MATCH]]</f>
        <v>0.8571428571428571</v>
      </c>
      <c r="T2" s="1">
        <f>SUMIF(B:B,Tabell15[[#This Row],[Namn]],E:E)</f>
        <v>10</v>
      </c>
      <c r="U2" s="1">
        <f>SUMIF(B:B,Tabell15[[#This Row],[Namn]],F:F)</f>
        <v>0</v>
      </c>
      <c r="V2" s="1">
        <f>SUMIF(B:B,Tabell15[[#This Row],[Namn]],G:G)</f>
        <v>5</v>
      </c>
      <c r="W2" s="1">
        <f>SUMIF(B:B,Tabell15[[#This Row],[Namn]],H:H)</f>
        <v>28</v>
      </c>
      <c r="X2" s="1">
        <f>RANK(Tabell15[[#This Row],[MAT]],R:R)</f>
        <v>32</v>
      </c>
      <c r="Y2" s="1">
        <f>RANK(Tabell15[[#This Row],[MÅL]],V:V)</f>
        <v>21</v>
      </c>
      <c r="Z2" s="1">
        <f>RANK(Tabell15[[#This Row],[VAR]],T:T)</f>
        <v>1</v>
      </c>
      <c r="AA2" s="1">
        <f>VLOOKUP(Tabell15[[#This Row],[Namn]],Tabell4[[Namn]:[SENASTE]],6,0)</f>
        <v>2026</v>
      </c>
    </row>
    <row r="3" spans="1:27" x14ac:dyDescent="0.2">
      <c r="A3">
        <v>2024</v>
      </c>
      <c r="B3" t="s">
        <v>56</v>
      </c>
      <c r="C3">
        <v>28</v>
      </c>
      <c r="D3">
        <v>1</v>
      </c>
      <c r="E3">
        <v>3</v>
      </c>
      <c r="F3">
        <v>0</v>
      </c>
      <c r="G3">
        <v>6</v>
      </c>
      <c r="H3">
        <v>28</v>
      </c>
      <c r="I3">
        <v>0.21428571428571427</v>
      </c>
      <c r="J3">
        <v>2024</v>
      </c>
      <c r="K3">
        <v>2002</v>
      </c>
      <c r="L3">
        <v>22</v>
      </c>
      <c r="M3">
        <v>2</v>
      </c>
      <c r="O3" s="1">
        <f>Tabell15[[#This Row],[RANK MÅL]]</f>
        <v>5</v>
      </c>
      <c r="P3" s="1">
        <f>Tabell15[[#This Row],[RANK MAT]]</f>
        <v>1</v>
      </c>
      <c r="Q3" t="s">
        <v>56</v>
      </c>
      <c r="R3" s="1">
        <f>SUMIF(B:B,Tabell15[[#This Row],[Namn]],C:C)</f>
        <v>142</v>
      </c>
      <c r="S3" s="5">
        <f>Tabell15[[#This Row],[MAT]]/Tabell15[[#This Row],[LAG MATCH]]</f>
        <v>0.98611111111111116</v>
      </c>
      <c r="T3" s="1">
        <f>SUMIF(B:B,Tabell15[[#This Row],[Namn]],E:E)</f>
        <v>8</v>
      </c>
      <c r="U3" s="1">
        <f>SUMIF(B:B,Tabell15[[#This Row],[Namn]],F:F)</f>
        <v>0</v>
      </c>
      <c r="V3" s="1">
        <f>SUMIF(B:B,Tabell15[[#This Row],[Namn]],G:G)</f>
        <v>29</v>
      </c>
      <c r="W3" s="1">
        <f>SUMIF(B:B,Tabell15[[#This Row],[Namn]],H:H)</f>
        <v>144</v>
      </c>
      <c r="X3" s="1">
        <f>RANK(Tabell15[[#This Row],[MAT]],R:R)</f>
        <v>1</v>
      </c>
      <c r="Y3" s="1">
        <f>RANK(Tabell15[[#This Row],[MÅL]],V:V)</f>
        <v>5</v>
      </c>
      <c r="Z3" s="1">
        <f>RANK(Tabell15[[#This Row],[VAR]],T:T)</f>
        <v>2</v>
      </c>
      <c r="AA3" s="1">
        <f>VLOOKUP(Tabell15[[#This Row],[Namn]],Tabell4[[Namn]:[SENASTE]],6,0)</f>
        <v>2024</v>
      </c>
    </row>
    <row r="4" spans="1:27" x14ac:dyDescent="0.2">
      <c r="A4">
        <v>2024</v>
      </c>
      <c r="B4" t="s">
        <v>28</v>
      </c>
      <c r="C4">
        <v>28</v>
      </c>
      <c r="D4">
        <v>1</v>
      </c>
      <c r="E4">
        <v>0</v>
      </c>
      <c r="F4">
        <v>0</v>
      </c>
      <c r="G4">
        <v>5</v>
      </c>
      <c r="H4">
        <v>28</v>
      </c>
      <c r="I4">
        <v>0.17857142857142858</v>
      </c>
      <c r="J4">
        <v>2024</v>
      </c>
      <c r="K4">
        <v>2007</v>
      </c>
      <c r="L4">
        <v>17</v>
      </c>
      <c r="M4">
        <v>2</v>
      </c>
      <c r="O4" s="10">
        <f>Tabell15[[#This Row],[RANK MÅL]]</f>
        <v>3</v>
      </c>
      <c r="P4" s="10">
        <f>Tabell15[[#This Row],[RANK MAT]]</f>
        <v>15</v>
      </c>
      <c r="Q4" t="s">
        <v>105</v>
      </c>
      <c r="R4" s="1">
        <f>SUMIF(B:B,Tabell15[[#This Row],[Namn]],C:C)</f>
        <v>40</v>
      </c>
      <c r="S4" s="5">
        <f>Tabell15[[#This Row],[MAT]]/Tabell15[[#This Row],[LAG MATCH]]</f>
        <v>0.90909090909090906</v>
      </c>
      <c r="T4" s="1">
        <f>SUMIF(B:B,Tabell15[[#This Row],[Namn]],E:E)</f>
        <v>6</v>
      </c>
      <c r="U4" s="1">
        <f>SUMIF(B:B,Tabell15[[#This Row],[Namn]],F:F)</f>
        <v>0</v>
      </c>
      <c r="V4" s="1">
        <f>SUMIF(B:B,Tabell15[[#This Row],[Namn]],G:G)</f>
        <v>43</v>
      </c>
      <c r="W4" s="1">
        <f>SUMIF(B:B,Tabell15[[#This Row],[Namn]],H:H)</f>
        <v>44</v>
      </c>
      <c r="X4" s="1">
        <f>RANK(Tabell15[[#This Row],[MAT]],R:R)</f>
        <v>15</v>
      </c>
      <c r="Y4" s="1">
        <f>RANK(Tabell15[[#This Row],[MÅL]],V:V)</f>
        <v>3</v>
      </c>
      <c r="Z4" s="1">
        <f>RANK(Tabell15[[#This Row],[VAR]],T:T)</f>
        <v>3</v>
      </c>
      <c r="AA4" s="1">
        <f>VLOOKUP(Tabell15[[#This Row],[Namn]],Tabell4[[Namn]:[SENASTE]],6,0)</f>
        <v>2019</v>
      </c>
    </row>
    <row r="5" spans="1:27" x14ac:dyDescent="0.2">
      <c r="A5">
        <v>2024</v>
      </c>
      <c r="B5" t="s">
        <v>57</v>
      </c>
      <c r="C5">
        <v>26</v>
      </c>
      <c r="D5">
        <v>0.9285714285714286</v>
      </c>
      <c r="E5">
        <v>0</v>
      </c>
      <c r="F5">
        <v>0</v>
      </c>
      <c r="G5">
        <v>3</v>
      </c>
      <c r="H5">
        <v>28</v>
      </c>
      <c r="I5">
        <v>0.11538461538461539</v>
      </c>
      <c r="J5">
        <v>2024</v>
      </c>
      <c r="K5">
        <v>2006</v>
      </c>
      <c r="L5">
        <v>18</v>
      </c>
      <c r="M5">
        <v>2</v>
      </c>
      <c r="O5" s="1">
        <f>Tabell15[[#This Row],[RANK MÅL]]</f>
        <v>26</v>
      </c>
      <c r="P5" s="1">
        <f>Tabell15[[#This Row],[RANK MAT]]</f>
        <v>14</v>
      </c>
      <c r="Q5" t="s">
        <v>100</v>
      </c>
      <c r="R5" s="1">
        <f>SUMIF(B:B,Tabell15[[#This Row],[Namn]],C:C)</f>
        <v>46</v>
      </c>
      <c r="S5" s="5">
        <f>Tabell15[[#This Row],[MAT]]/Tabell15[[#This Row],[LAG MATCH]]</f>
        <v>0.85185185185185186</v>
      </c>
      <c r="T5" s="1">
        <f>SUMIF(B:B,Tabell15[[#This Row],[Namn]],E:E)</f>
        <v>5</v>
      </c>
      <c r="U5" s="1">
        <f>SUMIF(B:B,Tabell15[[#This Row],[Namn]],F:F)</f>
        <v>0</v>
      </c>
      <c r="V5" s="1">
        <f>SUMIF(B:B,Tabell15[[#This Row],[Namn]],G:G)</f>
        <v>3</v>
      </c>
      <c r="W5" s="1">
        <f>SUMIF(B:B,Tabell15[[#This Row],[Namn]],H:H)</f>
        <v>54</v>
      </c>
      <c r="X5" s="1">
        <f>RANK(Tabell15[[#This Row],[MAT]],R:R)</f>
        <v>14</v>
      </c>
      <c r="Y5" s="1">
        <f>RANK(Tabell15[[#This Row],[MÅL]],V:V)</f>
        <v>26</v>
      </c>
      <c r="Z5" s="1">
        <f>RANK(Tabell15[[#This Row],[VAR]],T:T)</f>
        <v>4</v>
      </c>
      <c r="AA5" s="1">
        <f>VLOOKUP(Tabell15[[#This Row],[Namn]],Tabell4[[Namn]:[SENASTE]],6,0)</f>
        <v>2020</v>
      </c>
    </row>
    <row r="6" spans="1:27" x14ac:dyDescent="0.2">
      <c r="A6">
        <v>2024</v>
      </c>
      <c r="B6" t="s">
        <v>34</v>
      </c>
      <c r="C6">
        <v>25</v>
      </c>
      <c r="D6">
        <v>0.8928571428571429</v>
      </c>
      <c r="E6">
        <v>0</v>
      </c>
      <c r="F6">
        <v>0</v>
      </c>
      <c r="G6">
        <v>24</v>
      </c>
      <c r="H6">
        <v>28</v>
      </c>
      <c r="I6">
        <v>0.96</v>
      </c>
      <c r="J6">
        <v>2024</v>
      </c>
      <c r="K6">
        <v>1991</v>
      </c>
      <c r="L6">
        <v>33</v>
      </c>
      <c r="M6">
        <v>2</v>
      </c>
      <c r="O6" s="10">
        <f>Tabell15[[#This Row],[RANK MÅL]]</f>
        <v>12</v>
      </c>
      <c r="P6" s="10">
        <f>Tabell15[[#This Row],[RANK MAT]]</f>
        <v>6</v>
      </c>
      <c r="Q6" t="s">
        <v>82</v>
      </c>
      <c r="R6" s="1">
        <f>SUMIF(B:B,Tabell15[[#This Row],[Namn]],C:C)</f>
        <v>89</v>
      </c>
      <c r="S6" s="5">
        <f>Tabell15[[#This Row],[MAT]]/Tabell15[[#This Row],[LAG MATCH]]</f>
        <v>0.94680851063829785</v>
      </c>
      <c r="T6" s="1">
        <f>SUMIF(B:B,Tabell15[[#This Row],[Namn]],E:E)</f>
        <v>4</v>
      </c>
      <c r="U6" s="1">
        <f>SUMIF(B:B,Tabell15[[#This Row],[Namn]],F:F)</f>
        <v>0</v>
      </c>
      <c r="V6" s="1">
        <f>SUMIF(B:B,Tabell15[[#This Row],[Namn]],G:G)</f>
        <v>9</v>
      </c>
      <c r="W6" s="1">
        <f>SUMIF(B:B,Tabell15[[#This Row],[Namn]],H:H)</f>
        <v>94</v>
      </c>
      <c r="X6" s="1">
        <f>RANK(Tabell15[[#This Row],[MAT]],R:R)</f>
        <v>6</v>
      </c>
      <c r="Y6" s="1">
        <f>RANK(Tabell15[[#This Row],[MÅL]],V:V)</f>
        <v>12</v>
      </c>
      <c r="Z6" s="1">
        <f>RANK(Tabell15[[#This Row],[VAR]],T:T)</f>
        <v>5</v>
      </c>
      <c r="AA6" s="1">
        <f>VLOOKUP(Tabell15[[#This Row],[Namn]],Tabell4[[Namn]:[SENASTE]],6,0)</f>
        <v>2022</v>
      </c>
    </row>
    <row r="7" spans="1:27" x14ac:dyDescent="0.2">
      <c r="A7">
        <v>2024</v>
      </c>
      <c r="B7" t="s">
        <v>50</v>
      </c>
      <c r="C7">
        <v>25</v>
      </c>
      <c r="D7">
        <v>0.8928571428571429</v>
      </c>
      <c r="E7">
        <v>0</v>
      </c>
      <c r="F7">
        <v>0</v>
      </c>
      <c r="G7">
        <v>1</v>
      </c>
      <c r="H7">
        <v>28</v>
      </c>
      <c r="I7">
        <v>0.04</v>
      </c>
      <c r="J7">
        <v>2024</v>
      </c>
      <c r="K7">
        <v>1993</v>
      </c>
      <c r="L7">
        <v>31</v>
      </c>
      <c r="M7">
        <v>2</v>
      </c>
      <c r="O7" s="1">
        <f>Tabell15[[#This Row],[RANK MÅL]]</f>
        <v>1</v>
      </c>
      <c r="P7" s="1">
        <f>Tabell15[[#This Row],[RANK MAT]]</f>
        <v>2</v>
      </c>
      <c r="Q7" t="s">
        <v>34</v>
      </c>
      <c r="R7" s="1">
        <f>SUMIF(B:B,Tabell15[[#This Row],[Namn]],C:C)</f>
        <v>131</v>
      </c>
      <c r="S7" s="5">
        <f>Tabell15[[#This Row],[MAT]]/Tabell15[[#This Row],[LAG MATCH]]</f>
        <v>0.90972222222222221</v>
      </c>
      <c r="T7" s="1">
        <f>SUMIF(B:B,Tabell15[[#This Row],[Namn]],E:E)</f>
        <v>3</v>
      </c>
      <c r="U7" s="1">
        <f>SUMIF(B:B,Tabell15[[#This Row],[Namn]],F:F)</f>
        <v>0</v>
      </c>
      <c r="V7" s="1">
        <f>SUMIF(B:B,Tabell15[[#This Row],[Namn]],G:G)</f>
        <v>95</v>
      </c>
      <c r="W7" s="1">
        <f>SUMIF(B:B,Tabell15[[#This Row],[Namn]],H:H)</f>
        <v>144</v>
      </c>
      <c r="X7" s="1">
        <f>RANK(Tabell15[[#This Row],[MAT]],R:R)</f>
        <v>2</v>
      </c>
      <c r="Y7" s="1">
        <f>RANK(Tabell15[[#This Row],[MÅL]],V:V)</f>
        <v>1</v>
      </c>
      <c r="Z7" s="1">
        <f>RANK(Tabell15[[#This Row],[VAR]],T:T)</f>
        <v>6</v>
      </c>
      <c r="AA7" s="1">
        <f>VLOOKUP(Tabell15[[#This Row],[Namn]],Tabell4[[Namn]:[SENASTE]],6,0)</f>
        <v>2026</v>
      </c>
    </row>
    <row r="8" spans="1:27" x14ac:dyDescent="0.2">
      <c r="A8">
        <v>2024</v>
      </c>
      <c r="B8" t="s">
        <v>32</v>
      </c>
      <c r="C8">
        <v>24</v>
      </c>
      <c r="D8">
        <v>0.8571428571428571</v>
      </c>
      <c r="E8">
        <v>10</v>
      </c>
      <c r="F8">
        <v>0</v>
      </c>
      <c r="G8">
        <v>5</v>
      </c>
      <c r="H8">
        <v>28</v>
      </c>
      <c r="I8">
        <v>0.20833333333333334</v>
      </c>
      <c r="J8">
        <v>2024</v>
      </c>
      <c r="K8">
        <v>2003</v>
      </c>
      <c r="L8">
        <v>21</v>
      </c>
      <c r="M8">
        <v>2</v>
      </c>
      <c r="O8" s="10">
        <f>Tabell15[[#This Row],[RANK MÅL]]</f>
        <v>6</v>
      </c>
      <c r="P8" s="10">
        <f>Tabell15[[#This Row],[RANK MAT]]</f>
        <v>10</v>
      </c>
      <c r="Q8" t="s">
        <v>36</v>
      </c>
      <c r="R8" s="1">
        <f>SUMIF(B:B,Tabell15[[#This Row],[Namn]],C:C)</f>
        <v>58</v>
      </c>
      <c r="S8" s="5">
        <f>Tabell15[[#This Row],[MAT]]/Tabell15[[#This Row],[LAG MATCH]]</f>
        <v>0.73417721518987344</v>
      </c>
      <c r="T8" s="1">
        <f>SUMIF(B:B,Tabell15[[#This Row],[Namn]],E:E)</f>
        <v>3</v>
      </c>
      <c r="U8" s="1">
        <f>SUMIF(B:B,Tabell15[[#This Row],[Namn]],F:F)</f>
        <v>0</v>
      </c>
      <c r="V8" s="1">
        <f>SUMIF(B:B,Tabell15[[#This Row],[Namn]],G:G)</f>
        <v>18</v>
      </c>
      <c r="W8" s="1">
        <f>SUMIF(B:B,Tabell15[[#This Row],[Namn]],H:H)</f>
        <v>79</v>
      </c>
      <c r="X8" s="1">
        <f>RANK(Tabell15[[#This Row],[MAT]],R:R)</f>
        <v>10</v>
      </c>
      <c r="Y8" s="1">
        <f>RANK(Tabell15[[#This Row],[MÅL]],V:V)</f>
        <v>6</v>
      </c>
      <c r="Z8" s="1">
        <f>RANK(Tabell15[[#This Row],[VAR]],T:T)</f>
        <v>6</v>
      </c>
      <c r="AA8" s="1">
        <f>VLOOKUP(Tabell15[[#This Row],[Namn]],Tabell4[[Namn]:[SENASTE]],6,0)</f>
        <v>2026</v>
      </c>
    </row>
    <row r="9" spans="1:27" x14ac:dyDescent="0.2">
      <c r="A9">
        <v>2024</v>
      </c>
      <c r="B9" t="s">
        <v>58</v>
      </c>
      <c r="C9">
        <v>24</v>
      </c>
      <c r="D9">
        <v>0.8571428571428571</v>
      </c>
      <c r="E9">
        <v>0</v>
      </c>
      <c r="F9">
        <v>0</v>
      </c>
      <c r="G9">
        <v>0</v>
      </c>
      <c r="H9">
        <v>28</v>
      </c>
      <c r="I9">
        <v>0</v>
      </c>
      <c r="J9">
        <v>2024</v>
      </c>
      <c r="K9">
        <v>1999</v>
      </c>
      <c r="L9">
        <v>25</v>
      </c>
      <c r="M9">
        <v>2</v>
      </c>
      <c r="O9" s="1">
        <f>Tabell15[[#This Row],[RANK MÅL]]</f>
        <v>12</v>
      </c>
      <c r="P9" s="1">
        <f>Tabell15[[#This Row],[RANK MAT]]</f>
        <v>18</v>
      </c>
      <c r="Q9" t="s">
        <v>43</v>
      </c>
      <c r="R9" s="1">
        <f>SUMIF(B:B,Tabell15[[#This Row],[Namn]],C:C)</f>
        <v>36</v>
      </c>
      <c r="S9" s="5">
        <f>Tabell15[[#This Row],[MAT]]/Tabell15[[#This Row],[LAG MATCH]]</f>
        <v>0.45569620253164556</v>
      </c>
      <c r="T9" s="1">
        <f>SUMIF(B:B,Tabell15[[#This Row],[Namn]],E:E)</f>
        <v>3</v>
      </c>
      <c r="U9" s="1">
        <f>SUMIF(B:B,Tabell15[[#This Row],[Namn]],F:F)</f>
        <v>0</v>
      </c>
      <c r="V9" s="1">
        <f>SUMIF(B:B,Tabell15[[#This Row],[Namn]],G:G)</f>
        <v>9</v>
      </c>
      <c r="W9" s="1">
        <f>SUMIF(B:B,Tabell15[[#This Row],[Namn]],H:H)</f>
        <v>79</v>
      </c>
      <c r="X9" s="1">
        <f>RANK(Tabell15[[#This Row],[MAT]],R:R)</f>
        <v>18</v>
      </c>
      <c r="Y9" s="1">
        <f>RANK(Tabell15[[#This Row],[MÅL]],V:V)</f>
        <v>12</v>
      </c>
      <c r="Z9" s="1">
        <f>RANK(Tabell15[[#This Row],[VAR]],T:T)</f>
        <v>6</v>
      </c>
      <c r="AA9" s="1">
        <f>VLOOKUP(Tabell15[[#This Row],[Namn]],Tabell4[[Namn]:[SENASTE]],6,0)</f>
        <v>2026</v>
      </c>
    </row>
    <row r="10" spans="1:27" x14ac:dyDescent="0.2">
      <c r="A10">
        <v>2024</v>
      </c>
      <c r="B10" t="s">
        <v>59</v>
      </c>
      <c r="C10">
        <v>23</v>
      </c>
      <c r="D10">
        <v>0.8214285714285714</v>
      </c>
      <c r="E10">
        <v>0</v>
      </c>
      <c r="F10">
        <v>1</v>
      </c>
      <c r="G10">
        <v>5</v>
      </c>
      <c r="H10">
        <v>28</v>
      </c>
      <c r="I10">
        <v>0.21739130434782608</v>
      </c>
      <c r="J10">
        <v>2024</v>
      </c>
      <c r="K10">
        <v>1989</v>
      </c>
      <c r="L10">
        <v>35</v>
      </c>
      <c r="M10">
        <v>2</v>
      </c>
      <c r="O10" s="10">
        <f>Tabell15[[#This Row],[RANK MÅL]]</f>
        <v>33</v>
      </c>
      <c r="P10" s="10">
        <f>Tabell15[[#This Row],[RANK MAT]]</f>
        <v>23</v>
      </c>
      <c r="Q10" t="s">
        <v>66</v>
      </c>
      <c r="R10" s="1">
        <f>SUMIF(B:B,Tabell15[[#This Row],[Namn]],C:C)</f>
        <v>32</v>
      </c>
      <c r="S10" s="5">
        <f>Tabell15[[#This Row],[MAT]]/Tabell15[[#This Row],[LAG MATCH]]</f>
        <v>0.47058823529411764</v>
      </c>
      <c r="T10" s="1">
        <f>SUMIF(B:B,Tabell15[[#This Row],[Namn]],E:E)</f>
        <v>3</v>
      </c>
      <c r="U10" s="1">
        <f>SUMIF(B:B,Tabell15[[#This Row],[Namn]],F:F)</f>
        <v>0</v>
      </c>
      <c r="V10" s="1">
        <f>SUMIF(B:B,Tabell15[[#This Row],[Namn]],G:G)</f>
        <v>1</v>
      </c>
      <c r="W10" s="1">
        <f>SUMIF(B:B,Tabell15[[#This Row],[Namn]],H:H)</f>
        <v>68</v>
      </c>
      <c r="X10" s="1">
        <f>RANK(Tabell15[[#This Row],[MAT]],R:R)</f>
        <v>23</v>
      </c>
      <c r="Y10" s="1">
        <f>RANK(Tabell15[[#This Row],[MÅL]],V:V)</f>
        <v>33</v>
      </c>
      <c r="Z10" s="1">
        <f>RANK(Tabell15[[#This Row],[VAR]],T:T)</f>
        <v>6</v>
      </c>
      <c r="AA10" s="1">
        <f>VLOOKUP(Tabell15[[#This Row],[Namn]],Tabell4[[Namn]:[SENASTE]],6,0)</f>
        <v>2024</v>
      </c>
    </row>
    <row r="11" spans="1:27" x14ac:dyDescent="0.2">
      <c r="A11">
        <v>2024</v>
      </c>
      <c r="B11" t="s">
        <v>39</v>
      </c>
      <c r="C11">
        <v>21</v>
      </c>
      <c r="D11">
        <v>0.75</v>
      </c>
      <c r="E11">
        <v>2</v>
      </c>
      <c r="F11">
        <v>1</v>
      </c>
      <c r="G11">
        <v>1</v>
      </c>
      <c r="H11">
        <v>28</v>
      </c>
      <c r="I11">
        <v>4.7619047619047616E-2</v>
      </c>
      <c r="J11">
        <v>2024</v>
      </c>
      <c r="K11">
        <v>2002</v>
      </c>
      <c r="L11">
        <v>22</v>
      </c>
      <c r="M11">
        <v>2</v>
      </c>
      <c r="O11" s="1">
        <f>Tabell15[[#This Row],[RANK MÅL]]</f>
        <v>4</v>
      </c>
      <c r="P11" s="1">
        <f>Tabell15[[#This Row],[RANK MAT]]</f>
        <v>8</v>
      </c>
      <c r="Q11" t="s">
        <v>70</v>
      </c>
      <c r="R11" s="1">
        <f>SUMIF(B:B,Tabell15[[#This Row],[Namn]],C:C)</f>
        <v>70</v>
      </c>
      <c r="S11" s="5">
        <f>Tabell15[[#This Row],[MAT]]/Tabell15[[#This Row],[LAG MATCH]]</f>
        <v>0.97222222222222221</v>
      </c>
      <c r="T11" s="1">
        <f>SUMIF(B:B,Tabell15[[#This Row],[Namn]],E:E)</f>
        <v>2</v>
      </c>
      <c r="U11" s="1">
        <f>SUMIF(B:B,Tabell15[[#This Row],[Namn]],F:F)</f>
        <v>0</v>
      </c>
      <c r="V11" s="1">
        <f>SUMIF(B:B,Tabell15[[#This Row],[Namn]],G:G)</f>
        <v>38</v>
      </c>
      <c r="W11" s="1">
        <f>SUMIF(B:B,Tabell15[[#This Row],[Namn]],H:H)</f>
        <v>72</v>
      </c>
      <c r="X11" s="1">
        <f>RANK(Tabell15[[#This Row],[MAT]],R:R)</f>
        <v>8</v>
      </c>
      <c r="Y11" s="1">
        <f>RANK(Tabell15[[#This Row],[MÅL]],V:V)</f>
        <v>4</v>
      </c>
      <c r="Z11" s="1">
        <f>RANK(Tabell15[[#This Row],[VAR]],T:T)</f>
        <v>10</v>
      </c>
      <c r="AA11" s="1">
        <f>VLOOKUP(Tabell15[[#This Row],[Namn]],Tabell4[[Namn]:[SENASTE]],6,0)</f>
        <v>2023</v>
      </c>
    </row>
    <row r="12" spans="1:27" x14ac:dyDescent="0.2">
      <c r="A12">
        <v>2024</v>
      </c>
      <c r="B12" t="s">
        <v>33</v>
      </c>
      <c r="C12">
        <v>20</v>
      </c>
      <c r="D12">
        <v>0.7142857142857143</v>
      </c>
      <c r="E12">
        <v>1</v>
      </c>
      <c r="F12">
        <v>0</v>
      </c>
      <c r="G12">
        <v>0</v>
      </c>
      <c r="H12">
        <v>28</v>
      </c>
      <c r="I12">
        <v>0</v>
      </c>
      <c r="J12">
        <v>2024</v>
      </c>
      <c r="K12">
        <v>1999</v>
      </c>
      <c r="L12">
        <v>25</v>
      </c>
      <c r="M12">
        <v>2</v>
      </c>
      <c r="O12" s="10">
        <f>Tabell15[[#This Row],[RANK MÅL]]</f>
        <v>19</v>
      </c>
      <c r="P12" s="10">
        <f>Tabell15[[#This Row],[RANK MAT]]</f>
        <v>3</v>
      </c>
      <c r="Q12" t="s">
        <v>59</v>
      </c>
      <c r="R12" s="1">
        <f>SUMIF(B:B,Tabell15[[#This Row],[Namn]],C:C)</f>
        <v>118</v>
      </c>
      <c r="S12" s="5">
        <f>Tabell15[[#This Row],[MAT]]/Tabell15[[#This Row],[LAG MATCH]]</f>
        <v>0.88721804511278191</v>
      </c>
      <c r="T12" s="1">
        <f>SUMIF(B:B,Tabell15[[#This Row],[Namn]],E:E)</f>
        <v>2</v>
      </c>
      <c r="U12" s="1">
        <f>SUMIF(B:B,Tabell15[[#This Row],[Namn]],F:F)</f>
        <v>1</v>
      </c>
      <c r="V12" s="1">
        <f>SUMIF(B:B,Tabell15[[#This Row],[Namn]],G:G)</f>
        <v>6</v>
      </c>
      <c r="W12" s="1">
        <f>SUMIF(B:B,Tabell15[[#This Row],[Namn]],H:H)</f>
        <v>133</v>
      </c>
      <c r="X12" s="1">
        <f>RANK(Tabell15[[#This Row],[MAT]],R:R)</f>
        <v>3</v>
      </c>
      <c r="Y12" s="1">
        <f>RANK(Tabell15[[#This Row],[MÅL]],V:V)</f>
        <v>19</v>
      </c>
      <c r="Z12" s="1">
        <f>RANK(Tabell15[[#This Row],[VAR]],T:T)</f>
        <v>10</v>
      </c>
      <c r="AA12" s="1">
        <f>VLOOKUP(Tabell15[[#This Row],[Namn]],Tabell4[[Namn]:[SENASTE]],6,0)</f>
        <v>2024</v>
      </c>
    </row>
    <row r="13" spans="1:27" x14ac:dyDescent="0.2">
      <c r="A13">
        <v>2024</v>
      </c>
      <c r="B13" t="s">
        <v>48</v>
      </c>
      <c r="C13">
        <v>20</v>
      </c>
      <c r="D13">
        <v>0.7142857142857143</v>
      </c>
      <c r="E13">
        <v>0</v>
      </c>
      <c r="F13">
        <v>0</v>
      </c>
      <c r="G13">
        <v>15</v>
      </c>
      <c r="H13">
        <v>28</v>
      </c>
      <c r="I13">
        <v>0.75</v>
      </c>
      <c r="J13">
        <v>2024</v>
      </c>
      <c r="K13">
        <v>1999</v>
      </c>
      <c r="L13">
        <v>25</v>
      </c>
      <c r="M13">
        <v>2</v>
      </c>
      <c r="O13" s="1">
        <f>Tabell15[[#This Row],[RANK MÅL]]</f>
        <v>33</v>
      </c>
      <c r="P13" s="1">
        <f>Tabell15[[#This Row],[RANK MAT]]</f>
        <v>35</v>
      </c>
      <c r="Q13" t="s">
        <v>39</v>
      </c>
      <c r="R13" s="1">
        <f>SUMIF(B:B,Tabell15[[#This Row],[Namn]],C:C)</f>
        <v>21</v>
      </c>
      <c r="S13" s="5">
        <f>Tabell15[[#This Row],[MAT]]/Tabell15[[#This Row],[LAG MATCH]]</f>
        <v>0.75</v>
      </c>
      <c r="T13" s="1">
        <f>SUMIF(B:B,Tabell15[[#This Row],[Namn]],E:E)</f>
        <v>2</v>
      </c>
      <c r="U13" s="1">
        <f>SUMIF(B:B,Tabell15[[#This Row],[Namn]],F:F)</f>
        <v>1</v>
      </c>
      <c r="V13" s="1">
        <f>SUMIF(B:B,Tabell15[[#This Row],[Namn]],G:G)</f>
        <v>1</v>
      </c>
      <c r="W13" s="1">
        <f>SUMIF(B:B,Tabell15[[#This Row],[Namn]],H:H)</f>
        <v>28</v>
      </c>
      <c r="X13" s="1">
        <f>RANK(Tabell15[[#This Row],[MAT]],R:R)</f>
        <v>35</v>
      </c>
      <c r="Y13" s="1">
        <f>RANK(Tabell15[[#This Row],[MÅL]],V:V)</f>
        <v>33</v>
      </c>
      <c r="Z13" s="1">
        <f>RANK(Tabell15[[#This Row],[VAR]],T:T)</f>
        <v>10</v>
      </c>
      <c r="AA13" s="1">
        <f>VLOOKUP(Tabell15[[#This Row],[Namn]],Tabell4[[Namn]:[SENASTE]],6,0)</f>
        <v>2026</v>
      </c>
    </row>
    <row r="14" spans="1:27" x14ac:dyDescent="0.2">
      <c r="A14">
        <v>2024</v>
      </c>
      <c r="B14" t="s">
        <v>60</v>
      </c>
      <c r="C14">
        <v>20</v>
      </c>
      <c r="D14">
        <v>0.7142857142857143</v>
      </c>
      <c r="E14">
        <v>1</v>
      </c>
      <c r="F14">
        <v>0</v>
      </c>
      <c r="G14">
        <v>0</v>
      </c>
      <c r="H14">
        <v>28</v>
      </c>
      <c r="I14">
        <v>0</v>
      </c>
      <c r="J14">
        <v>2024</v>
      </c>
      <c r="K14">
        <v>2006</v>
      </c>
      <c r="L14">
        <v>18</v>
      </c>
      <c r="M14">
        <v>2</v>
      </c>
      <c r="O14" s="10">
        <f>Tabell15[[#This Row],[RANK MÅL]]</f>
        <v>33</v>
      </c>
      <c r="P14" s="10">
        <f>Tabell15[[#This Row],[RANK MAT]]</f>
        <v>26</v>
      </c>
      <c r="Q14" t="s">
        <v>81</v>
      </c>
      <c r="R14" s="1">
        <f>SUMIF(B:B,Tabell15[[#This Row],[Namn]],C:C)</f>
        <v>30</v>
      </c>
      <c r="S14" s="5">
        <f>Tabell15[[#This Row],[MAT]]/Tabell15[[#This Row],[LAG MATCH]]</f>
        <v>0.75</v>
      </c>
      <c r="T14" s="1">
        <f>SUMIF(B:B,Tabell15[[#This Row],[Namn]],E:E)</f>
        <v>2</v>
      </c>
      <c r="U14" s="1">
        <f>SUMIF(B:B,Tabell15[[#This Row],[Namn]],F:F)</f>
        <v>0</v>
      </c>
      <c r="V14" s="1">
        <f>SUMIF(B:B,Tabell15[[#This Row],[Namn]],G:G)</f>
        <v>1</v>
      </c>
      <c r="W14" s="1">
        <f>SUMIF(B:B,Tabell15[[#This Row],[Namn]],H:H)</f>
        <v>40</v>
      </c>
      <c r="X14" s="1">
        <f>RANK(Tabell15[[#This Row],[MAT]],R:R)</f>
        <v>26</v>
      </c>
      <c r="Y14" s="1">
        <f>RANK(Tabell15[[#This Row],[MÅL]],V:V)</f>
        <v>33</v>
      </c>
      <c r="Z14" s="1">
        <f>RANK(Tabell15[[#This Row],[VAR]],T:T)</f>
        <v>10</v>
      </c>
      <c r="AA14" s="1">
        <f>VLOOKUP(Tabell15[[#This Row],[Namn]],Tabell4[[Namn]:[SENASTE]],6,0)</f>
        <v>2022</v>
      </c>
    </row>
    <row r="15" spans="1:27" x14ac:dyDescent="0.2">
      <c r="A15">
        <v>2024</v>
      </c>
      <c r="B15" t="s">
        <v>36</v>
      </c>
      <c r="C15">
        <v>19</v>
      </c>
      <c r="D15">
        <v>0.6785714285714286</v>
      </c>
      <c r="E15">
        <v>1</v>
      </c>
      <c r="F15">
        <v>0</v>
      </c>
      <c r="G15">
        <v>4</v>
      </c>
      <c r="H15">
        <v>28</v>
      </c>
      <c r="I15">
        <v>0.21052631578947367</v>
      </c>
      <c r="J15">
        <v>2024</v>
      </c>
      <c r="K15">
        <v>2002</v>
      </c>
      <c r="L15">
        <v>22</v>
      </c>
      <c r="M15">
        <v>2</v>
      </c>
      <c r="O15" s="1">
        <f>Tabell15[[#This Row],[RANK MÅL]]</f>
        <v>2</v>
      </c>
      <c r="P15" s="1">
        <f>Tabell15[[#This Row],[RANK MAT]]</f>
        <v>11</v>
      </c>
      <c r="Q15" t="s">
        <v>83</v>
      </c>
      <c r="R15" s="1">
        <f>SUMIF(B:B,Tabell15[[#This Row],[Namn]],C:C)</f>
        <v>56</v>
      </c>
      <c r="S15" s="5">
        <f>Tabell15[[#This Row],[MAT]]/Tabell15[[#This Row],[LAG MATCH]]</f>
        <v>0.86153846153846159</v>
      </c>
      <c r="T15" s="1">
        <f>SUMIF(B:B,Tabell15[[#This Row],[Namn]],E:E)</f>
        <v>1</v>
      </c>
      <c r="U15" s="1">
        <f>SUMIF(B:B,Tabell15[[#This Row],[Namn]],F:F)</f>
        <v>0</v>
      </c>
      <c r="V15" s="1">
        <f>SUMIF(B:B,Tabell15[[#This Row],[Namn]],G:G)</f>
        <v>82</v>
      </c>
      <c r="W15" s="1">
        <f>SUMIF(B:B,Tabell15[[#This Row],[Namn]],H:H)</f>
        <v>65</v>
      </c>
      <c r="X15" s="1">
        <f>RANK(Tabell15[[#This Row],[MAT]],R:R)</f>
        <v>11</v>
      </c>
      <c r="Y15" s="1">
        <f>RANK(Tabell15[[#This Row],[MÅL]],V:V)</f>
        <v>2</v>
      </c>
      <c r="Z15" s="1">
        <f>RANK(Tabell15[[#This Row],[VAR]],T:T)</f>
        <v>14</v>
      </c>
      <c r="AA15" s="1">
        <f>VLOOKUP(Tabell15[[#This Row],[Namn]],Tabell4[[Namn]:[SENASTE]],6,0)</f>
        <v>2022</v>
      </c>
    </row>
    <row r="16" spans="1:27" x14ac:dyDescent="0.2">
      <c r="A16">
        <v>2024</v>
      </c>
      <c r="B16" t="s">
        <v>40</v>
      </c>
      <c r="C16">
        <v>17</v>
      </c>
      <c r="D16">
        <v>0.6071428571428571</v>
      </c>
      <c r="E16">
        <v>0</v>
      </c>
      <c r="F16">
        <v>0</v>
      </c>
      <c r="G16">
        <v>3</v>
      </c>
      <c r="H16">
        <v>28</v>
      </c>
      <c r="I16">
        <v>0.17647058823529413</v>
      </c>
      <c r="J16">
        <v>2024</v>
      </c>
      <c r="K16">
        <v>2007</v>
      </c>
      <c r="L16">
        <v>17</v>
      </c>
      <c r="M16">
        <v>2</v>
      </c>
      <c r="O16" s="10">
        <f>Tabell15[[#This Row],[RANK MÅL]]</f>
        <v>10</v>
      </c>
      <c r="P16" s="10">
        <f>Tabell15[[#This Row],[RANK MAT]]</f>
        <v>17</v>
      </c>
      <c r="Q16" t="s">
        <v>29</v>
      </c>
      <c r="R16" s="1">
        <f>SUMIF(B:B,Tabell15[[#This Row],[Namn]],C:C)</f>
        <v>37</v>
      </c>
      <c r="S16" s="5">
        <f>Tabell15[[#This Row],[MAT]]/Tabell15[[#This Row],[LAG MATCH]]</f>
        <v>0.46835443037974683</v>
      </c>
      <c r="T16" s="1">
        <f>SUMIF(B:B,Tabell15[[#This Row],[Namn]],E:E)</f>
        <v>1</v>
      </c>
      <c r="U16" s="1">
        <f>SUMIF(B:B,Tabell15[[#This Row],[Namn]],F:F)</f>
        <v>0</v>
      </c>
      <c r="V16" s="1">
        <f>SUMIF(B:B,Tabell15[[#This Row],[Namn]],G:G)</f>
        <v>11</v>
      </c>
      <c r="W16" s="1">
        <f>SUMIF(B:B,Tabell15[[#This Row],[Namn]],H:H)</f>
        <v>79</v>
      </c>
      <c r="X16" s="1">
        <f>RANK(Tabell15[[#This Row],[MAT]],R:R)</f>
        <v>17</v>
      </c>
      <c r="Y16" s="1">
        <f>RANK(Tabell15[[#This Row],[MÅL]],V:V)</f>
        <v>10</v>
      </c>
      <c r="Z16" s="1">
        <f>RANK(Tabell15[[#This Row],[VAR]],T:T)</f>
        <v>14</v>
      </c>
      <c r="AA16" s="1">
        <f>VLOOKUP(Tabell15[[#This Row],[Namn]],Tabell4[[Namn]:[SENASTE]],6,0)</f>
        <v>2026</v>
      </c>
    </row>
    <row r="17" spans="1:27" x14ac:dyDescent="0.2">
      <c r="A17">
        <v>2024</v>
      </c>
      <c r="B17" t="s">
        <v>61</v>
      </c>
      <c r="C17">
        <v>11</v>
      </c>
      <c r="D17">
        <v>0.39285714285714285</v>
      </c>
      <c r="E17">
        <v>0</v>
      </c>
      <c r="F17">
        <v>0</v>
      </c>
      <c r="G17">
        <v>3</v>
      </c>
      <c r="H17">
        <v>28</v>
      </c>
      <c r="I17">
        <v>0.27272727272727271</v>
      </c>
      <c r="J17">
        <v>2024</v>
      </c>
      <c r="K17">
        <v>2003</v>
      </c>
      <c r="L17">
        <v>21</v>
      </c>
      <c r="M17">
        <v>2</v>
      </c>
      <c r="O17" s="1">
        <f>Tabell15[[#This Row],[RANK MÅL]]</f>
        <v>10</v>
      </c>
      <c r="P17" s="1">
        <f>Tabell15[[#This Row],[RANK MAT]]</f>
        <v>4</v>
      </c>
      <c r="Q17" t="s">
        <v>69</v>
      </c>
      <c r="R17" s="1">
        <f>SUMIF(B:B,Tabell15[[#This Row],[Namn]],C:C)</f>
        <v>105</v>
      </c>
      <c r="S17" s="5">
        <f>Tabell15[[#This Row],[MAT]]/Tabell15[[#This Row],[LAG MATCH]]</f>
        <v>0.90517241379310343</v>
      </c>
      <c r="T17" s="1">
        <f>SUMIF(B:B,Tabell15[[#This Row],[Namn]],E:E)</f>
        <v>1</v>
      </c>
      <c r="U17" s="1">
        <f>SUMIF(B:B,Tabell15[[#This Row],[Namn]],F:F)</f>
        <v>0</v>
      </c>
      <c r="V17" s="1">
        <f>SUMIF(B:B,Tabell15[[#This Row],[Namn]],G:G)</f>
        <v>11</v>
      </c>
      <c r="W17" s="1">
        <f>SUMIF(B:B,Tabell15[[#This Row],[Namn]],H:H)</f>
        <v>116</v>
      </c>
      <c r="X17" s="1">
        <f>RANK(Tabell15[[#This Row],[MAT]],R:R)</f>
        <v>4</v>
      </c>
      <c r="Y17" s="1">
        <f>RANK(Tabell15[[#This Row],[MÅL]],V:V)</f>
        <v>10</v>
      </c>
      <c r="Z17" s="1">
        <f>RANK(Tabell15[[#This Row],[VAR]],T:T)</f>
        <v>14</v>
      </c>
      <c r="AA17" s="1">
        <f>VLOOKUP(Tabell15[[#This Row],[Namn]],Tabell4[[Namn]:[SENASTE]],6,0)</f>
        <v>2023</v>
      </c>
    </row>
    <row r="18" spans="1:27" x14ac:dyDescent="0.2">
      <c r="A18">
        <v>2024</v>
      </c>
      <c r="B18" t="s">
        <v>62</v>
      </c>
      <c r="C18">
        <v>11</v>
      </c>
      <c r="D18">
        <v>0.39285714285714285</v>
      </c>
      <c r="E18">
        <v>0</v>
      </c>
      <c r="F18">
        <v>0</v>
      </c>
      <c r="G18">
        <v>0</v>
      </c>
      <c r="H18">
        <v>28</v>
      </c>
      <c r="I18">
        <v>0</v>
      </c>
      <c r="J18">
        <v>2024</v>
      </c>
      <c r="K18">
        <v>2001</v>
      </c>
      <c r="L18">
        <v>23</v>
      </c>
      <c r="M18">
        <v>2</v>
      </c>
      <c r="O18" s="10">
        <f>Tabell15[[#This Row],[RANK MÅL]]</f>
        <v>12</v>
      </c>
      <c r="P18" s="10">
        <f>Tabell15[[#This Row],[RANK MAT]]</f>
        <v>40</v>
      </c>
      <c r="Q18" t="s">
        <v>85</v>
      </c>
      <c r="R18" s="1">
        <f>SUMIF(B:B,Tabell15[[#This Row],[Namn]],C:C)</f>
        <v>19</v>
      </c>
      <c r="S18" s="5">
        <f>Tabell15[[#This Row],[MAT]]/Tabell15[[#This Row],[LAG MATCH]]</f>
        <v>0.40425531914893614</v>
      </c>
      <c r="T18" s="1">
        <f>SUMIF(B:B,Tabell15[[#This Row],[Namn]],E:E)</f>
        <v>1</v>
      </c>
      <c r="U18" s="1">
        <f>SUMIF(B:B,Tabell15[[#This Row],[Namn]],F:F)</f>
        <v>0</v>
      </c>
      <c r="V18" s="1">
        <f>SUMIF(B:B,Tabell15[[#This Row],[Namn]],G:G)</f>
        <v>9</v>
      </c>
      <c r="W18" s="1">
        <f>SUMIF(B:B,Tabell15[[#This Row],[Namn]],H:H)</f>
        <v>47</v>
      </c>
      <c r="X18" s="1">
        <f>RANK(Tabell15[[#This Row],[MAT]],R:R)</f>
        <v>40</v>
      </c>
      <c r="Y18" s="1">
        <f>RANK(Tabell15[[#This Row],[MÅL]],V:V)</f>
        <v>12</v>
      </c>
      <c r="Z18" s="1">
        <f>RANK(Tabell15[[#This Row],[VAR]],T:T)</f>
        <v>14</v>
      </c>
      <c r="AA18" s="1">
        <f>VLOOKUP(Tabell15[[#This Row],[Namn]],Tabell4[[Namn]:[SENASTE]],6,0)</f>
        <v>2022</v>
      </c>
    </row>
    <row r="19" spans="1:27" x14ac:dyDescent="0.2">
      <c r="A19">
        <v>2024</v>
      </c>
      <c r="B19" t="s">
        <v>43</v>
      </c>
      <c r="C19">
        <v>9</v>
      </c>
      <c r="D19">
        <v>0.32142857142857145</v>
      </c>
      <c r="E19">
        <v>3</v>
      </c>
      <c r="F19">
        <v>0</v>
      </c>
      <c r="G19">
        <v>2</v>
      </c>
      <c r="H19">
        <v>28</v>
      </c>
      <c r="I19">
        <v>0.22222222222222221</v>
      </c>
      <c r="J19">
        <v>2024</v>
      </c>
      <c r="K19">
        <v>2002</v>
      </c>
      <c r="L19">
        <v>22</v>
      </c>
      <c r="M19">
        <v>2</v>
      </c>
      <c r="O19" s="1">
        <f>Tabell15[[#This Row],[RANK MÅL]]</f>
        <v>16</v>
      </c>
      <c r="P19" s="1">
        <f>Tabell15[[#This Row],[RANK MAT]]</f>
        <v>46</v>
      </c>
      <c r="Q19" t="s">
        <v>112</v>
      </c>
      <c r="R19" s="1">
        <f>SUMIF(B:B,Tabell15[[#This Row],[Namn]],C:C)</f>
        <v>16</v>
      </c>
      <c r="S19" s="5">
        <f>Tabell15[[#This Row],[MAT]]/Tabell15[[#This Row],[LAG MATCH]]</f>
        <v>0.88888888888888884</v>
      </c>
      <c r="T19" s="1">
        <f>SUMIF(B:B,Tabell15[[#This Row],[Namn]],E:E)</f>
        <v>1</v>
      </c>
      <c r="U19" s="1">
        <f>SUMIF(B:B,Tabell15[[#This Row],[Namn]],F:F)</f>
        <v>0</v>
      </c>
      <c r="V19" s="1">
        <f>SUMIF(B:B,Tabell15[[#This Row],[Namn]],G:G)</f>
        <v>8</v>
      </c>
      <c r="W19" s="1">
        <f>SUMIF(B:B,Tabell15[[#This Row],[Namn]],H:H)</f>
        <v>18</v>
      </c>
      <c r="X19" s="1">
        <f>RANK(Tabell15[[#This Row],[MAT]],R:R)</f>
        <v>46</v>
      </c>
      <c r="Y19" s="1">
        <f>RANK(Tabell15[[#This Row],[MÅL]],V:V)</f>
        <v>16</v>
      </c>
      <c r="Z19" s="1">
        <f>RANK(Tabell15[[#This Row],[VAR]],T:T)</f>
        <v>14</v>
      </c>
      <c r="AA19" s="1">
        <f>VLOOKUP(Tabell15[[#This Row],[Namn]],Tabell4[[Namn]:[SENASTE]],6,0)</f>
        <v>2018</v>
      </c>
    </row>
    <row r="20" spans="1:27" x14ac:dyDescent="0.2">
      <c r="A20">
        <v>2024</v>
      </c>
      <c r="B20" t="s">
        <v>63</v>
      </c>
      <c r="C20">
        <v>8</v>
      </c>
      <c r="D20">
        <v>0.2857142857142857</v>
      </c>
      <c r="E20">
        <v>0</v>
      </c>
      <c r="F20">
        <v>0</v>
      </c>
      <c r="G20">
        <v>13</v>
      </c>
      <c r="H20">
        <v>28</v>
      </c>
      <c r="I20">
        <v>1.625</v>
      </c>
      <c r="J20">
        <v>2024</v>
      </c>
      <c r="K20">
        <v>2001</v>
      </c>
      <c r="L20">
        <v>23</v>
      </c>
      <c r="M20">
        <v>2</v>
      </c>
      <c r="O20" s="10">
        <f>Tabell15[[#This Row],[RANK MÅL]]</f>
        <v>23</v>
      </c>
      <c r="P20" s="10">
        <f>Tabell15[[#This Row],[RANK MAT]]</f>
        <v>31</v>
      </c>
      <c r="Q20" t="s">
        <v>64</v>
      </c>
      <c r="R20" s="1">
        <f>SUMIF(B:B,Tabell15[[#This Row],[Namn]],C:C)</f>
        <v>25</v>
      </c>
      <c r="S20" s="5">
        <f>Tabell15[[#This Row],[MAT]]/Tabell15[[#This Row],[LAG MATCH]]</f>
        <v>0.25</v>
      </c>
      <c r="T20" s="1">
        <f>SUMIF(B:B,Tabell15[[#This Row],[Namn]],E:E)</f>
        <v>1</v>
      </c>
      <c r="U20" s="1">
        <f>SUMIF(B:B,Tabell15[[#This Row],[Namn]],F:F)</f>
        <v>0</v>
      </c>
      <c r="V20" s="1">
        <f>SUMIF(B:B,Tabell15[[#This Row],[Namn]],G:G)</f>
        <v>4</v>
      </c>
      <c r="W20" s="1">
        <f>SUMIF(B:B,Tabell15[[#This Row],[Namn]],H:H)</f>
        <v>100</v>
      </c>
      <c r="X20" s="1">
        <f>RANK(Tabell15[[#This Row],[MAT]],R:R)</f>
        <v>31</v>
      </c>
      <c r="Y20" s="1">
        <f>RANK(Tabell15[[#This Row],[MÅL]],V:V)</f>
        <v>23</v>
      </c>
      <c r="Z20" s="1">
        <f>RANK(Tabell15[[#This Row],[VAR]],T:T)</f>
        <v>14</v>
      </c>
      <c r="AA20" s="1">
        <f>VLOOKUP(Tabell15[[#This Row],[Namn]],Tabell4[[Namn]:[SENASTE]],6,0)</f>
        <v>2024</v>
      </c>
    </row>
    <row r="21" spans="1:27" x14ac:dyDescent="0.2">
      <c r="A21">
        <v>2024</v>
      </c>
      <c r="B21" t="s">
        <v>53</v>
      </c>
      <c r="C21">
        <v>6</v>
      </c>
      <c r="D21">
        <v>0.21428571428571427</v>
      </c>
      <c r="E21">
        <v>0</v>
      </c>
      <c r="F21">
        <v>0</v>
      </c>
      <c r="G21">
        <v>0</v>
      </c>
      <c r="H21">
        <v>28</v>
      </c>
      <c r="I21">
        <v>0</v>
      </c>
      <c r="J21">
        <v>2024</v>
      </c>
      <c r="K21">
        <v>2008</v>
      </c>
      <c r="L21">
        <v>16</v>
      </c>
      <c r="M21">
        <v>2</v>
      </c>
      <c r="O21" s="1">
        <f>Tabell15[[#This Row],[RANK MÅL]]</f>
        <v>23</v>
      </c>
      <c r="P21" s="1">
        <f>Tabell15[[#This Row],[RANK MAT]]</f>
        <v>47</v>
      </c>
      <c r="Q21" t="s">
        <v>72</v>
      </c>
      <c r="R21" s="1">
        <f>SUMIF(B:B,Tabell15[[#This Row],[Namn]],C:C)</f>
        <v>14</v>
      </c>
      <c r="S21" s="5">
        <f>Tabell15[[#This Row],[MAT]]/Tabell15[[#This Row],[LAG MATCH]]</f>
        <v>0.63636363636363635</v>
      </c>
      <c r="T21" s="1">
        <f>SUMIF(B:B,Tabell15[[#This Row],[Namn]],E:E)</f>
        <v>1</v>
      </c>
      <c r="U21" s="1">
        <f>SUMIF(B:B,Tabell15[[#This Row],[Namn]],F:F)</f>
        <v>0</v>
      </c>
      <c r="V21" s="1">
        <f>SUMIF(B:B,Tabell15[[#This Row],[Namn]],G:G)</f>
        <v>4</v>
      </c>
      <c r="W21" s="1">
        <f>SUMIF(B:B,Tabell15[[#This Row],[Namn]],H:H)</f>
        <v>22</v>
      </c>
      <c r="X21" s="1">
        <f>RANK(Tabell15[[#This Row],[MAT]],R:R)</f>
        <v>47</v>
      </c>
      <c r="Y21" s="1">
        <f>RANK(Tabell15[[#This Row],[MÅL]],V:V)</f>
        <v>23</v>
      </c>
      <c r="Z21" s="1">
        <f>RANK(Tabell15[[#This Row],[VAR]],T:T)</f>
        <v>14</v>
      </c>
      <c r="AA21" s="1">
        <f>VLOOKUP(Tabell15[[#This Row],[Namn]],Tabell4[[Namn]:[SENASTE]],6,0)</f>
        <v>2023</v>
      </c>
    </row>
    <row r="22" spans="1:27" x14ac:dyDescent="0.2">
      <c r="A22">
        <v>2024</v>
      </c>
      <c r="B22" t="s">
        <v>64</v>
      </c>
      <c r="C22">
        <v>5</v>
      </c>
      <c r="D22">
        <v>0.17857142857142858</v>
      </c>
      <c r="E22">
        <v>0</v>
      </c>
      <c r="F22">
        <v>0</v>
      </c>
      <c r="G22">
        <v>0</v>
      </c>
      <c r="H22">
        <v>28</v>
      </c>
      <c r="I22">
        <v>0</v>
      </c>
      <c r="J22">
        <v>2024</v>
      </c>
      <c r="K22">
        <v>2001</v>
      </c>
      <c r="L22">
        <v>23</v>
      </c>
      <c r="M22">
        <v>2</v>
      </c>
      <c r="O22" s="10">
        <f>Tabell15[[#This Row],[RANK MÅL]]</f>
        <v>23</v>
      </c>
      <c r="P22" s="10">
        <f>Tabell15[[#This Row],[RANK MAT]]</f>
        <v>18</v>
      </c>
      <c r="Q22" t="s">
        <v>99</v>
      </c>
      <c r="R22" s="1">
        <f>SUMIF(B:B,Tabell15[[#This Row],[Namn]],C:C)</f>
        <v>36</v>
      </c>
      <c r="S22" s="5">
        <f>Tabell15[[#This Row],[MAT]]/Tabell15[[#This Row],[LAG MATCH]]</f>
        <v>1</v>
      </c>
      <c r="T22" s="1">
        <f>SUMIF(B:B,Tabell15[[#This Row],[Namn]],E:E)</f>
        <v>1</v>
      </c>
      <c r="U22" s="1">
        <f>SUMIF(B:B,Tabell15[[#This Row],[Namn]],F:F)</f>
        <v>0</v>
      </c>
      <c r="V22" s="1">
        <f>SUMIF(B:B,Tabell15[[#This Row],[Namn]],G:G)</f>
        <v>4</v>
      </c>
      <c r="W22" s="1">
        <f>SUMIF(B:B,Tabell15[[#This Row],[Namn]],H:H)</f>
        <v>36</v>
      </c>
      <c r="X22" s="1">
        <f>RANK(Tabell15[[#This Row],[MAT]],R:R)</f>
        <v>18</v>
      </c>
      <c r="Y22" s="1">
        <f>RANK(Tabell15[[#This Row],[MÅL]],V:V)</f>
        <v>23</v>
      </c>
      <c r="Z22" s="1">
        <f>RANK(Tabell15[[#This Row],[VAR]],T:T)</f>
        <v>14</v>
      </c>
      <c r="AA22" s="1">
        <f>VLOOKUP(Tabell15[[#This Row],[Namn]],Tabell4[[Namn]:[SENASTE]],6,0)</f>
        <v>2020</v>
      </c>
    </row>
    <row r="23" spans="1:27" x14ac:dyDescent="0.2">
      <c r="A23">
        <v>2024</v>
      </c>
      <c r="B23" t="s">
        <v>65</v>
      </c>
      <c r="C23">
        <v>4</v>
      </c>
      <c r="D23">
        <v>0.14285714285714285</v>
      </c>
      <c r="E23">
        <v>0</v>
      </c>
      <c r="F23">
        <v>0</v>
      </c>
      <c r="G23">
        <v>0</v>
      </c>
      <c r="H23">
        <v>28</v>
      </c>
      <c r="I23">
        <v>0</v>
      </c>
      <c r="J23">
        <v>2024</v>
      </c>
      <c r="K23">
        <v>2008</v>
      </c>
      <c r="L23">
        <v>16</v>
      </c>
      <c r="M23">
        <v>2</v>
      </c>
      <c r="O23" s="1">
        <f>Tabell15[[#This Row],[RANK MÅL]]</f>
        <v>26</v>
      </c>
      <c r="P23" s="1">
        <f>Tabell15[[#This Row],[RANK MAT]]</f>
        <v>34</v>
      </c>
      <c r="Q23" t="s">
        <v>61</v>
      </c>
      <c r="R23" s="1">
        <f>SUMIF(B:B,Tabell15[[#This Row],[Namn]],C:C)</f>
        <v>22</v>
      </c>
      <c r="S23" s="5">
        <f>Tabell15[[#This Row],[MAT]]/Tabell15[[#This Row],[LAG MATCH]]</f>
        <v>0.44</v>
      </c>
      <c r="T23" s="1">
        <f>SUMIF(B:B,Tabell15[[#This Row],[Namn]],E:E)</f>
        <v>1</v>
      </c>
      <c r="U23" s="1">
        <f>SUMIF(B:B,Tabell15[[#This Row],[Namn]],F:F)</f>
        <v>0</v>
      </c>
      <c r="V23" s="1">
        <f>SUMIF(B:B,Tabell15[[#This Row],[Namn]],G:G)</f>
        <v>3</v>
      </c>
      <c r="W23" s="1">
        <f>SUMIF(B:B,Tabell15[[#This Row],[Namn]],H:H)</f>
        <v>50</v>
      </c>
      <c r="X23" s="1">
        <f>RANK(Tabell15[[#This Row],[MAT]],R:R)</f>
        <v>34</v>
      </c>
      <c r="Y23" s="1">
        <f>RANK(Tabell15[[#This Row],[MÅL]],V:V)</f>
        <v>26</v>
      </c>
      <c r="Z23" s="1">
        <f>RANK(Tabell15[[#This Row],[VAR]],T:T)</f>
        <v>14</v>
      </c>
      <c r="AA23" s="1">
        <f>VLOOKUP(Tabell15[[#This Row],[Namn]],Tabell4[[Namn]:[SENASTE]],6,0)</f>
        <v>2024</v>
      </c>
    </row>
    <row r="24" spans="1:27" x14ac:dyDescent="0.2">
      <c r="A24">
        <v>2024</v>
      </c>
      <c r="B24" t="s">
        <v>42</v>
      </c>
      <c r="C24">
        <v>4</v>
      </c>
      <c r="D24">
        <v>0.14285714285714285</v>
      </c>
      <c r="E24">
        <v>0</v>
      </c>
      <c r="F24">
        <v>0</v>
      </c>
      <c r="G24">
        <v>0</v>
      </c>
      <c r="H24">
        <v>28</v>
      </c>
      <c r="I24">
        <v>0</v>
      </c>
      <c r="J24">
        <v>2024</v>
      </c>
      <c r="K24">
        <v>2008</v>
      </c>
      <c r="L24">
        <v>16</v>
      </c>
      <c r="M24">
        <v>2</v>
      </c>
      <c r="O24" s="10">
        <f>Tabell15[[#This Row],[RANK MÅL]]</f>
        <v>30</v>
      </c>
      <c r="P24" s="10">
        <f>Tabell15[[#This Row],[RANK MAT]]</f>
        <v>35</v>
      </c>
      <c r="Q24" t="s">
        <v>76</v>
      </c>
      <c r="R24" s="1">
        <f>SUMIF(B:B,Tabell15[[#This Row],[Namn]],C:C)</f>
        <v>21</v>
      </c>
      <c r="S24" s="5">
        <f>Tabell15[[#This Row],[MAT]]/Tabell15[[#This Row],[LAG MATCH]]</f>
        <v>0.41176470588235292</v>
      </c>
      <c r="T24" s="1">
        <f>SUMIF(B:B,Tabell15[[#This Row],[Namn]],E:E)</f>
        <v>1</v>
      </c>
      <c r="U24" s="1">
        <f>SUMIF(B:B,Tabell15[[#This Row],[Namn]],F:F)</f>
        <v>0</v>
      </c>
      <c r="V24" s="1">
        <f>SUMIF(B:B,Tabell15[[#This Row],[Namn]],G:G)</f>
        <v>2</v>
      </c>
      <c r="W24" s="1">
        <f>SUMIF(B:B,Tabell15[[#This Row],[Namn]],H:H)</f>
        <v>51</v>
      </c>
      <c r="X24" s="1">
        <f>RANK(Tabell15[[#This Row],[MAT]],R:R)</f>
        <v>35</v>
      </c>
      <c r="Y24" s="1">
        <f>RANK(Tabell15[[#This Row],[MÅL]],V:V)</f>
        <v>30</v>
      </c>
      <c r="Z24" s="1">
        <f>RANK(Tabell15[[#This Row],[VAR]],T:T)</f>
        <v>14</v>
      </c>
      <c r="AA24" s="1">
        <f>VLOOKUP(Tabell15[[#This Row],[Namn]],Tabell4[[Namn]:[SENASTE]],6,0)</f>
        <v>2023</v>
      </c>
    </row>
    <row r="25" spans="1:27" x14ac:dyDescent="0.2">
      <c r="A25">
        <v>2024</v>
      </c>
      <c r="B25" t="s">
        <v>66</v>
      </c>
      <c r="C25">
        <v>3</v>
      </c>
      <c r="D25">
        <v>0.10714285714285714</v>
      </c>
      <c r="E25">
        <v>0</v>
      </c>
      <c r="F25">
        <v>0</v>
      </c>
      <c r="G25">
        <v>0</v>
      </c>
      <c r="H25">
        <v>28</v>
      </c>
      <c r="I25">
        <v>0</v>
      </c>
      <c r="J25">
        <v>2024</v>
      </c>
      <c r="K25">
        <v>1997</v>
      </c>
      <c r="L25">
        <v>27</v>
      </c>
      <c r="M25">
        <v>2</v>
      </c>
      <c r="O25" s="1">
        <f>Tabell15[[#This Row],[RANK MÅL]]</f>
        <v>33</v>
      </c>
      <c r="P25" s="1">
        <f>Tabell15[[#This Row],[RANK MAT]]</f>
        <v>9</v>
      </c>
      <c r="Q25" t="s">
        <v>50</v>
      </c>
      <c r="R25" s="1">
        <f>SUMIF(B:B,Tabell15[[#This Row],[Namn]],C:C)</f>
        <v>67</v>
      </c>
      <c r="S25" s="5">
        <f>Tabell15[[#This Row],[MAT]]/Tabell15[[#This Row],[LAG MATCH]]</f>
        <v>0.74444444444444446</v>
      </c>
      <c r="T25" s="1">
        <f>SUMIF(B:B,Tabell15[[#This Row],[Namn]],E:E)</f>
        <v>1</v>
      </c>
      <c r="U25" s="1">
        <f>SUMIF(B:B,Tabell15[[#This Row],[Namn]],F:F)</f>
        <v>0</v>
      </c>
      <c r="V25" s="1">
        <f>SUMIF(B:B,Tabell15[[#This Row],[Namn]],G:G)</f>
        <v>1</v>
      </c>
      <c r="W25" s="1">
        <f>SUMIF(B:B,Tabell15[[#This Row],[Namn]],H:H)</f>
        <v>90</v>
      </c>
      <c r="X25" s="1">
        <f>RANK(Tabell15[[#This Row],[MAT]],R:R)</f>
        <v>9</v>
      </c>
      <c r="Y25" s="1">
        <f>RANK(Tabell15[[#This Row],[MÅL]],V:V)</f>
        <v>33</v>
      </c>
      <c r="Z25" s="1">
        <f>RANK(Tabell15[[#This Row],[VAR]],T:T)</f>
        <v>14</v>
      </c>
      <c r="AA25" s="1">
        <f>VLOOKUP(Tabell15[[#This Row],[Namn]],Tabell4[[Namn]:[SENASTE]],6,0)</f>
        <v>2025</v>
      </c>
    </row>
    <row r="26" spans="1:27" x14ac:dyDescent="0.2">
      <c r="A26">
        <v>2024</v>
      </c>
      <c r="B26" t="s">
        <v>46</v>
      </c>
      <c r="C26">
        <v>3</v>
      </c>
      <c r="D26">
        <v>0.10714285714285714</v>
      </c>
      <c r="E26">
        <v>0</v>
      </c>
      <c r="F26">
        <v>0</v>
      </c>
      <c r="G26">
        <v>2</v>
      </c>
      <c r="H26">
        <v>28</v>
      </c>
      <c r="I26">
        <v>0.66666666666666663</v>
      </c>
      <c r="J26">
        <v>2024</v>
      </c>
      <c r="K26">
        <v>2003</v>
      </c>
      <c r="L26">
        <v>21</v>
      </c>
      <c r="M26">
        <v>2</v>
      </c>
      <c r="O26" s="10">
        <f>Tabell15[[#This Row],[RANK MÅL]]</f>
        <v>33</v>
      </c>
      <c r="P26" s="10">
        <f>Tabell15[[#This Row],[RANK MAT]]</f>
        <v>4</v>
      </c>
      <c r="Q26" t="s">
        <v>74</v>
      </c>
      <c r="R26" s="1">
        <f>SUMIF(B:B,Tabell15[[#This Row],[Namn]],C:C)</f>
        <v>105</v>
      </c>
      <c r="S26" s="5">
        <f>Tabell15[[#This Row],[MAT]]/Tabell15[[#This Row],[LAG MATCH]]</f>
        <v>0.90517241379310343</v>
      </c>
      <c r="T26" s="1">
        <f>SUMIF(B:B,Tabell15[[#This Row],[Namn]],E:E)</f>
        <v>1</v>
      </c>
      <c r="U26" s="1">
        <f>SUMIF(B:B,Tabell15[[#This Row],[Namn]],F:F)</f>
        <v>0</v>
      </c>
      <c r="V26" s="1">
        <f>SUMIF(B:B,Tabell15[[#This Row],[Namn]],G:G)</f>
        <v>1</v>
      </c>
      <c r="W26" s="1">
        <f>SUMIF(B:B,Tabell15[[#This Row],[Namn]],H:H)</f>
        <v>116</v>
      </c>
      <c r="X26" s="1">
        <f>RANK(Tabell15[[#This Row],[MAT]],R:R)</f>
        <v>4</v>
      </c>
      <c r="Y26" s="1">
        <f>RANK(Tabell15[[#This Row],[MÅL]],V:V)</f>
        <v>33</v>
      </c>
      <c r="Z26" s="1">
        <f>RANK(Tabell15[[#This Row],[VAR]],T:T)</f>
        <v>14</v>
      </c>
      <c r="AA26" s="1">
        <f>VLOOKUP(Tabell15[[#This Row],[Namn]],Tabell4[[Namn]:[SENASTE]],6,0)</f>
        <v>2023</v>
      </c>
    </row>
    <row r="27" spans="1:27" x14ac:dyDescent="0.2">
      <c r="A27">
        <v>2024</v>
      </c>
      <c r="B27" t="s">
        <v>24</v>
      </c>
      <c r="C27">
        <v>2</v>
      </c>
      <c r="D27">
        <v>7.1428571428571425E-2</v>
      </c>
      <c r="E27">
        <v>0</v>
      </c>
      <c r="F27">
        <v>0</v>
      </c>
      <c r="G27">
        <v>0</v>
      </c>
      <c r="H27">
        <v>28</v>
      </c>
      <c r="I27">
        <v>0</v>
      </c>
      <c r="J27">
        <v>2024</v>
      </c>
      <c r="K27">
        <v>2009</v>
      </c>
      <c r="L27">
        <v>15</v>
      </c>
      <c r="M27">
        <v>2</v>
      </c>
      <c r="O27" s="1">
        <f>Tabell15[[#This Row],[RANK MÅL]]</f>
        <v>33</v>
      </c>
      <c r="P27" s="1">
        <f>Tabell15[[#This Row],[RANK MAT]]</f>
        <v>53</v>
      </c>
      <c r="Q27" t="s">
        <v>114</v>
      </c>
      <c r="R27" s="1">
        <f>SUMIF(B:B,Tabell15[[#This Row],[Namn]],C:C)</f>
        <v>8</v>
      </c>
      <c r="S27" s="5">
        <f>Tabell15[[#This Row],[MAT]]/Tabell15[[#This Row],[LAG MATCH]]</f>
        <v>0.44444444444444442</v>
      </c>
      <c r="T27" s="1">
        <f>SUMIF(B:B,Tabell15[[#This Row],[Namn]],E:E)</f>
        <v>1</v>
      </c>
      <c r="U27" s="1">
        <f>SUMIF(B:B,Tabell15[[#This Row],[Namn]],F:F)</f>
        <v>0</v>
      </c>
      <c r="V27" s="1">
        <f>SUMIF(B:B,Tabell15[[#This Row],[Namn]],G:G)</f>
        <v>1</v>
      </c>
      <c r="W27" s="1">
        <f>SUMIF(B:B,Tabell15[[#This Row],[Namn]],H:H)</f>
        <v>18</v>
      </c>
      <c r="X27" s="1">
        <f>RANK(Tabell15[[#This Row],[MAT]],R:R)</f>
        <v>53</v>
      </c>
      <c r="Y27" s="1">
        <f>RANK(Tabell15[[#This Row],[MÅL]],V:V)</f>
        <v>33</v>
      </c>
      <c r="Z27" s="1">
        <f>RANK(Tabell15[[#This Row],[VAR]],T:T)</f>
        <v>14</v>
      </c>
      <c r="AA27" s="1">
        <f>VLOOKUP(Tabell15[[#This Row],[Namn]],Tabell4[[Namn]:[SENASTE]],6,0)</f>
        <v>2018</v>
      </c>
    </row>
    <row r="28" spans="1:27" x14ac:dyDescent="0.2">
      <c r="A28">
        <v>2024</v>
      </c>
      <c r="B28" t="s">
        <v>37</v>
      </c>
      <c r="C28">
        <v>2</v>
      </c>
      <c r="D28">
        <v>7.1428571428571425E-2</v>
      </c>
      <c r="E28">
        <v>0</v>
      </c>
      <c r="F28">
        <v>0</v>
      </c>
      <c r="G28">
        <v>0</v>
      </c>
      <c r="H28">
        <v>28</v>
      </c>
      <c r="I28">
        <v>0</v>
      </c>
      <c r="J28">
        <v>2024</v>
      </c>
      <c r="K28">
        <v>2007</v>
      </c>
      <c r="L28">
        <v>17</v>
      </c>
      <c r="M28">
        <v>2</v>
      </c>
      <c r="O28" s="10">
        <f>Tabell15[[#This Row],[RANK MÅL]]</f>
        <v>45</v>
      </c>
      <c r="P28" s="10">
        <f>Tabell15[[#This Row],[RANK MAT]]</f>
        <v>23</v>
      </c>
      <c r="Q28" t="s">
        <v>33</v>
      </c>
      <c r="R28" s="1">
        <f>SUMIF(B:B,Tabell15[[#This Row],[Namn]],C:C)</f>
        <v>32</v>
      </c>
      <c r="S28" s="5">
        <f>Tabell15[[#This Row],[MAT]]/Tabell15[[#This Row],[LAG MATCH]]</f>
        <v>0.35555555555555557</v>
      </c>
      <c r="T28" s="1">
        <f>SUMIF(B:B,Tabell15[[#This Row],[Namn]],E:E)</f>
        <v>1</v>
      </c>
      <c r="U28" s="1">
        <f>SUMIF(B:B,Tabell15[[#This Row],[Namn]],F:F)</f>
        <v>0</v>
      </c>
      <c r="V28" s="1">
        <f>SUMIF(B:B,Tabell15[[#This Row],[Namn]],G:G)</f>
        <v>0</v>
      </c>
      <c r="W28" s="1">
        <f>SUMIF(B:B,Tabell15[[#This Row],[Namn]],H:H)</f>
        <v>90</v>
      </c>
      <c r="X28" s="1">
        <f>RANK(Tabell15[[#This Row],[MAT]],R:R)</f>
        <v>23</v>
      </c>
      <c r="Y28" s="1">
        <f>RANK(Tabell15[[#This Row],[MÅL]],V:V)</f>
        <v>45</v>
      </c>
      <c r="Z28" s="1">
        <f>RANK(Tabell15[[#This Row],[VAR]],T:T)</f>
        <v>14</v>
      </c>
      <c r="AA28" s="1">
        <f>VLOOKUP(Tabell15[[#This Row],[Namn]],Tabell4[[Namn]:[SENASTE]],6,0)</f>
        <v>2026</v>
      </c>
    </row>
    <row r="29" spans="1:27" x14ac:dyDescent="0.2">
      <c r="A29">
        <v>2024</v>
      </c>
      <c r="B29" t="s">
        <v>67</v>
      </c>
      <c r="C29">
        <v>1</v>
      </c>
      <c r="D29">
        <v>3.5714285714285712E-2</v>
      </c>
      <c r="E29">
        <v>0</v>
      </c>
      <c r="F29">
        <v>0</v>
      </c>
      <c r="G29">
        <v>1</v>
      </c>
      <c r="H29">
        <v>28</v>
      </c>
      <c r="I29">
        <v>1</v>
      </c>
      <c r="J29">
        <v>2024</v>
      </c>
      <c r="K29">
        <v>2007</v>
      </c>
      <c r="L29">
        <v>17</v>
      </c>
      <c r="M29">
        <v>2</v>
      </c>
      <c r="O29" s="1">
        <f>Tabell15[[#This Row],[RANK MÅL]]</f>
        <v>45</v>
      </c>
      <c r="P29" s="1">
        <f>Tabell15[[#This Row],[RANK MAT]]</f>
        <v>38</v>
      </c>
      <c r="Q29" t="s">
        <v>60</v>
      </c>
      <c r="R29" s="1">
        <f>SUMIF(B:B,Tabell15[[#This Row],[Namn]],C:C)</f>
        <v>20</v>
      </c>
      <c r="S29" s="5">
        <f>Tabell15[[#This Row],[MAT]]/Tabell15[[#This Row],[LAG MATCH]]</f>
        <v>0.7142857142857143</v>
      </c>
      <c r="T29" s="1">
        <f>SUMIF(B:B,Tabell15[[#This Row],[Namn]],E:E)</f>
        <v>1</v>
      </c>
      <c r="U29" s="1">
        <f>SUMIF(B:B,Tabell15[[#This Row],[Namn]],F:F)</f>
        <v>0</v>
      </c>
      <c r="V29" s="1">
        <f>SUMIF(B:B,Tabell15[[#This Row],[Namn]],G:G)</f>
        <v>0</v>
      </c>
      <c r="W29" s="1">
        <f>SUMIF(B:B,Tabell15[[#This Row],[Namn]],H:H)</f>
        <v>28</v>
      </c>
      <c r="X29" s="1">
        <f>RANK(Tabell15[[#This Row],[MAT]],R:R)</f>
        <v>38</v>
      </c>
      <c r="Y29" s="1">
        <f>RANK(Tabell15[[#This Row],[MÅL]],V:V)</f>
        <v>45</v>
      </c>
      <c r="Z29" s="1">
        <f>RANK(Tabell15[[#This Row],[VAR]],T:T)</f>
        <v>14</v>
      </c>
      <c r="AA29" s="1">
        <f>VLOOKUP(Tabell15[[#This Row],[Namn]],Tabell4[[Namn]:[SENASTE]],6,0)</f>
        <v>2024</v>
      </c>
    </row>
    <row r="30" spans="1:27" x14ac:dyDescent="0.2">
      <c r="A30">
        <v>2024</v>
      </c>
      <c r="B30" t="s">
        <v>26</v>
      </c>
      <c r="C30">
        <v>1</v>
      </c>
      <c r="D30">
        <v>3.5714285714285712E-2</v>
      </c>
      <c r="E30">
        <v>0</v>
      </c>
      <c r="F30">
        <v>0</v>
      </c>
      <c r="G30">
        <v>0</v>
      </c>
      <c r="H30">
        <v>28</v>
      </c>
      <c r="I30">
        <v>0</v>
      </c>
      <c r="J30">
        <v>2024</v>
      </c>
      <c r="K30">
        <v>2007</v>
      </c>
      <c r="L30">
        <v>17</v>
      </c>
      <c r="M30">
        <v>2</v>
      </c>
      <c r="O30" s="10">
        <f>Tabell15[[#This Row],[RANK MÅL]]</f>
        <v>45</v>
      </c>
      <c r="P30" s="10">
        <f>Tabell15[[#This Row],[RANK MAT]]</f>
        <v>26</v>
      </c>
      <c r="Q30" t="s">
        <v>108</v>
      </c>
      <c r="R30" s="1">
        <f>SUMIF(B:B,Tabell15[[#This Row],[Namn]],C:C)</f>
        <v>30</v>
      </c>
      <c r="S30" s="5">
        <f>Tabell15[[#This Row],[MAT]]/Tabell15[[#This Row],[LAG MATCH]]</f>
        <v>0.68181818181818177</v>
      </c>
      <c r="T30" s="1">
        <f>SUMIF(B:B,Tabell15[[#This Row],[Namn]],E:E)</f>
        <v>1</v>
      </c>
      <c r="U30" s="1">
        <f>SUMIF(B:B,Tabell15[[#This Row],[Namn]],F:F)</f>
        <v>0</v>
      </c>
      <c r="V30" s="1">
        <f>SUMIF(B:B,Tabell15[[#This Row],[Namn]],G:G)</f>
        <v>0</v>
      </c>
      <c r="W30" s="1">
        <f>SUMIF(B:B,Tabell15[[#This Row],[Namn]],H:H)</f>
        <v>44</v>
      </c>
      <c r="X30" s="1">
        <f>RANK(Tabell15[[#This Row],[MAT]],R:R)</f>
        <v>26</v>
      </c>
      <c r="Y30" s="1">
        <f>RANK(Tabell15[[#This Row],[MÅL]],V:V)</f>
        <v>45</v>
      </c>
      <c r="Z30" s="1">
        <f>RANK(Tabell15[[#This Row],[VAR]],T:T)</f>
        <v>14</v>
      </c>
      <c r="AA30" s="1">
        <f>VLOOKUP(Tabell15[[#This Row],[Namn]],Tabell4[[Namn]:[SENASTE]],6,0)</f>
        <v>2019</v>
      </c>
    </row>
    <row r="31" spans="1:27" x14ac:dyDescent="0.2">
      <c r="A31">
        <v>2024</v>
      </c>
      <c r="B31" t="s">
        <v>68</v>
      </c>
      <c r="C31">
        <v>1</v>
      </c>
      <c r="D31">
        <v>3.5714285714285712E-2</v>
      </c>
      <c r="E31">
        <v>0</v>
      </c>
      <c r="F31">
        <v>0</v>
      </c>
      <c r="G31">
        <v>0</v>
      </c>
      <c r="H31">
        <v>28</v>
      </c>
      <c r="I31">
        <v>0</v>
      </c>
      <c r="J31">
        <v>2024</v>
      </c>
      <c r="K31">
        <v>2006</v>
      </c>
      <c r="L31">
        <v>18</v>
      </c>
      <c r="M31">
        <v>2</v>
      </c>
      <c r="O31" s="1">
        <f>Tabell15[[#This Row],[RANK MÅL]]</f>
        <v>45</v>
      </c>
      <c r="P31" s="1">
        <f>Tabell15[[#This Row],[RANK MAT]]</f>
        <v>40</v>
      </c>
      <c r="Q31" t="s">
        <v>109</v>
      </c>
      <c r="R31" s="1">
        <f>SUMIF(B:B,Tabell15[[#This Row],[Namn]],C:C)</f>
        <v>19</v>
      </c>
      <c r="S31" s="5">
        <f>Tabell15[[#This Row],[MAT]]/Tabell15[[#This Row],[LAG MATCH]]</f>
        <v>0.43181818181818182</v>
      </c>
      <c r="T31" s="1">
        <f>SUMIF(B:B,Tabell15[[#This Row],[Namn]],E:E)</f>
        <v>1</v>
      </c>
      <c r="U31" s="1">
        <f>SUMIF(B:B,Tabell15[[#This Row],[Namn]],F:F)</f>
        <v>0</v>
      </c>
      <c r="V31" s="1">
        <f>SUMIF(B:B,Tabell15[[#This Row],[Namn]],G:G)</f>
        <v>0</v>
      </c>
      <c r="W31" s="1">
        <f>SUMIF(B:B,Tabell15[[#This Row],[Namn]],H:H)</f>
        <v>44</v>
      </c>
      <c r="X31" s="1">
        <f>RANK(Tabell15[[#This Row],[MAT]],R:R)</f>
        <v>40</v>
      </c>
      <c r="Y31" s="1">
        <f>RANK(Tabell15[[#This Row],[MÅL]],V:V)</f>
        <v>45</v>
      </c>
      <c r="Z31" s="1">
        <f>RANK(Tabell15[[#This Row],[VAR]],T:T)</f>
        <v>14</v>
      </c>
      <c r="AA31" s="1">
        <f>VLOOKUP(Tabell15[[#This Row],[Namn]],Tabell4[[Namn]:[SENASTE]],6,0)</f>
        <v>2019</v>
      </c>
    </row>
    <row r="32" spans="1:27" x14ac:dyDescent="0.2">
      <c r="A32">
        <v>2024</v>
      </c>
      <c r="B32" t="s">
        <v>41</v>
      </c>
      <c r="C32">
        <v>1</v>
      </c>
      <c r="D32">
        <v>3.5714285714285712E-2</v>
      </c>
      <c r="E32">
        <v>0</v>
      </c>
      <c r="F32">
        <v>0</v>
      </c>
      <c r="G32">
        <v>0</v>
      </c>
      <c r="H32">
        <v>28</v>
      </c>
      <c r="I32">
        <v>0</v>
      </c>
      <c r="J32">
        <v>2024</v>
      </c>
      <c r="K32">
        <v>2005</v>
      </c>
      <c r="L32">
        <v>19</v>
      </c>
      <c r="M32">
        <v>2</v>
      </c>
      <c r="O32" s="10">
        <f>Tabell15[[#This Row],[RANK MÅL]]</f>
        <v>45</v>
      </c>
      <c r="P32" s="10">
        <f>Tabell15[[#This Row],[RANK MAT]]</f>
        <v>50</v>
      </c>
      <c r="Q32" t="s">
        <v>113</v>
      </c>
      <c r="R32" s="1">
        <f>SUMIF(B:B,Tabell15[[#This Row],[Namn]],C:C)</f>
        <v>11</v>
      </c>
      <c r="S32" s="5">
        <f>Tabell15[[#This Row],[MAT]]/Tabell15[[#This Row],[LAG MATCH]]</f>
        <v>0.61111111111111116</v>
      </c>
      <c r="T32" s="1">
        <f>SUMIF(B:B,Tabell15[[#This Row],[Namn]],E:E)</f>
        <v>1</v>
      </c>
      <c r="U32" s="1">
        <f>SUMIF(B:B,Tabell15[[#This Row],[Namn]],F:F)</f>
        <v>0</v>
      </c>
      <c r="V32" s="1">
        <f>SUMIF(B:B,Tabell15[[#This Row],[Namn]],G:G)</f>
        <v>0</v>
      </c>
      <c r="W32" s="1">
        <f>SUMIF(B:B,Tabell15[[#This Row],[Namn]],H:H)</f>
        <v>18</v>
      </c>
      <c r="X32" s="1">
        <f>RANK(Tabell15[[#This Row],[MAT]],R:R)</f>
        <v>50</v>
      </c>
      <c r="Y32" s="1">
        <f>RANK(Tabell15[[#This Row],[MÅL]],V:V)</f>
        <v>45</v>
      </c>
      <c r="Z32" s="1">
        <f>RANK(Tabell15[[#This Row],[VAR]],T:T)</f>
        <v>14</v>
      </c>
      <c r="AA32" s="1">
        <f>VLOOKUP(Tabell15[[#This Row],[Namn]],Tabell4[[Namn]:[SENASTE]],6,0)</f>
        <v>2018</v>
      </c>
    </row>
    <row r="33" spans="1:27" x14ac:dyDescent="0.2">
      <c r="A33">
        <v>2024</v>
      </c>
      <c r="B33" t="s">
        <v>45</v>
      </c>
      <c r="C33">
        <v>1</v>
      </c>
      <c r="D33">
        <v>3.5714285714285712E-2</v>
      </c>
      <c r="E33">
        <v>0</v>
      </c>
      <c r="F33">
        <v>0</v>
      </c>
      <c r="G33">
        <v>0</v>
      </c>
      <c r="H33">
        <v>28</v>
      </c>
      <c r="I33">
        <v>0</v>
      </c>
      <c r="J33">
        <v>2024</v>
      </c>
      <c r="K33">
        <v>2009</v>
      </c>
      <c r="L33">
        <v>15</v>
      </c>
      <c r="M33">
        <v>2</v>
      </c>
      <c r="O33" s="1">
        <f>Tabell15[[#This Row],[RANK MÅL]]</f>
        <v>7</v>
      </c>
      <c r="P33" s="1">
        <f>Tabell15[[#This Row],[RANK MAT]]</f>
        <v>38</v>
      </c>
      <c r="Q33" t="s">
        <v>48</v>
      </c>
      <c r="R33" s="1">
        <f>SUMIF(B:B,Tabell15[[#This Row],[Namn]],C:C)</f>
        <v>20</v>
      </c>
      <c r="S33" s="5">
        <f>Tabell15[[#This Row],[MAT]]/Tabell15[[#This Row],[LAG MATCH]]</f>
        <v>0.7142857142857143</v>
      </c>
      <c r="T33" s="1">
        <f>SUMIF(B:B,Tabell15[[#This Row],[Namn]],E:E)</f>
        <v>0</v>
      </c>
      <c r="U33" s="1">
        <f>SUMIF(B:B,Tabell15[[#This Row],[Namn]],F:F)</f>
        <v>0</v>
      </c>
      <c r="V33" s="1">
        <f>SUMIF(B:B,Tabell15[[#This Row],[Namn]],G:G)</f>
        <v>15</v>
      </c>
      <c r="W33" s="1">
        <f>SUMIF(B:B,Tabell15[[#This Row],[Namn]],H:H)</f>
        <v>28</v>
      </c>
      <c r="X33" s="1">
        <f>RANK(Tabell15[[#This Row],[MAT]],R:R)</f>
        <v>38</v>
      </c>
      <c r="Y33" s="1">
        <f>RANK(Tabell15[[#This Row],[MÅL]],V:V)</f>
        <v>7</v>
      </c>
      <c r="Z33" s="1">
        <f>RANK(Tabell15[[#This Row],[VAR]],T:T)</f>
        <v>32</v>
      </c>
      <c r="AA33" s="1">
        <f>VLOOKUP(Tabell15[[#This Row],[Namn]],Tabell4[[Namn]:[SENASTE]],6,0)</f>
        <v>2025</v>
      </c>
    </row>
    <row r="34" spans="1:27" x14ac:dyDescent="0.2">
      <c r="A34">
        <v>2023</v>
      </c>
      <c r="B34" t="s">
        <v>34</v>
      </c>
      <c r="C34">
        <v>22</v>
      </c>
      <c r="D34">
        <v>1</v>
      </c>
      <c r="E34">
        <v>1</v>
      </c>
      <c r="F34">
        <v>0</v>
      </c>
      <c r="G34">
        <v>11</v>
      </c>
      <c r="H34">
        <v>22</v>
      </c>
      <c r="I34">
        <v>0.5</v>
      </c>
      <c r="J34">
        <v>2023</v>
      </c>
      <c r="K34">
        <v>1991</v>
      </c>
      <c r="L34">
        <v>32</v>
      </c>
      <c r="M34">
        <v>2</v>
      </c>
      <c r="O34" s="10">
        <f>Tabell15[[#This Row],[RANK MÅL]]</f>
        <v>8</v>
      </c>
      <c r="P34" s="10">
        <f>Tabell15[[#This Row],[RANK MAT]]</f>
        <v>53</v>
      </c>
      <c r="Q34" t="s">
        <v>63</v>
      </c>
      <c r="R34" s="1">
        <f>SUMIF(B:B,Tabell15[[#This Row],[Namn]],C:C)</f>
        <v>8</v>
      </c>
      <c r="S34" s="5">
        <f>Tabell15[[#This Row],[MAT]]/Tabell15[[#This Row],[LAG MATCH]]</f>
        <v>0.2857142857142857</v>
      </c>
      <c r="T34" s="1">
        <f>SUMIF(B:B,Tabell15[[#This Row],[Namn]],E:E)</f>
        <v>0</v>
      </c>
      <c r="U34" s="1">
        <f>SUMIF(B:B,Tabell15[[#This Row],[Namn]],F:F)</f>
        <v>0</v>
      </c>
      <c r="V34" s="1">
        <f>SUMIF(B:B,Tabell15[[#This Row],[Namn]],G:G)</f>
        <v>13</v>
      </c>
      <c r="W34" s="1">
        <f>SUMIF(B:B,Tabell15[[#This Row],[Namn]],H:H)</f>
        <v>28</v>
      </c>
      <c r="X34" s="1">
        <f>RANK(Tabell15[[#This Row],[MAT]],R:R)</f>
        <v>53</v>
      </c>
      <c r="Y34" s="1">
        <f>RANK(Tabell15[[#This Row],[MÅL]],V:V)</f>
        <v>8</v>
      </c>
      <c r="Z34" s="1">
        <f>RANK(Tabell15[[#This Row],[VAR]],T:T)</f>
        <v>32</v>
      </c>
      <c r="AA34" s="1">
        <f>VLOOKUP(Tabell15[[#This Row],[Namn]],Tabell4[[Namn]:[SENASTE]],6,0)</f>
        <v>2024</v>
      </c>
    </row>
    <row r="35" spans="1:27" x14ac:dyDescent="0.2">
      <c r="A35">
        <v>2023</v>
      </c>
      <c r="B35" t="s">
        <v>56</v>
      </c>
      <c r="C35">
        <v>22</v>
      </c>
      <c r="D35">
        <v>1</v>
      </c>
      <c r="E35">
        <v>2</v>
      </c>
      <c r="F35">
        <v>0</v>
      </c>
      <c r="G35">
        <v>2</v>
      </c>
      <c r="H35">
        <v>22</v>
      </c>
      <c r="I35">
        <v>9.0909090909090912E-2</v>
      </c>
      <c r="J35">
        <v>2023</v>
      </c>
      <c r="K35">
        <v>2002</v>
      </c>
      <c r="L35">
        <v>21</v>
      </c>
      <c r="M35">
        <v>2</v>
      </c>
      <c r="O35" s="1">
        <f>Tabell15[[#This Row],[RANK MÅL]]</f>
        <v>8</v>
      </c>
      <c r="P35" s="1">
        <f>Tabell15[[#This Row],[RANK MAT]]</f>
        <v>43</v>
      </c>
      <c r="Q35" t="s">
        <v>107</v>
      </c>
      <c r="R35" s="1">
        <f>SUMIF(B:B,Tabell15[[#This Row],[Namn]],C:C)</f>
        <v>17</v>
      </c>
      <c r="S35" s="5">
        <f>Tabell15[[#This Row],[MAT]]/Tabell15[[#This Row],[LAG MATCH]]</f>
        <v>0.65384615384615385</v>
      </c>
      <c r="T35" s="1">
        <f>SUMIF(B:B,Tabell15[[#This Row],[Namn]],E:E)</f>
        <v>0</v>
      </c>
      <c r="U35" s="1">
        <f>SUMIF(B:B,Tabell15[[#This Row],[Namn]],F:F)</f>
        <v>0</v>
      </c>
      <c r="V35" s="1">
        <f>SUMIF(B:B,Tabell15[[#This Row],[Namn]],G:G)</f>
        <v>13</v>
      </c>
      <c r="W35" s="1">
        <f>SUMIF(B:B,Tabell15[[#This Row],[Namn]],H:H)</f>
        <v>26</v>
      </c>
      <c r="X35" s="1">
        <f>RANK(Tabell15[[#This Row],[MAT]],R:R)</f>
        <v>43</v>
      </c>
      <c r="Y35" s="1">
        <f>RANK(Tabell15[[#This Row],[MÅL]],V:V)</f>
        <v>8</v>
      </c>
      <c r="Z35" s="1">
        <f>RANK(Tabell15[[#This Row],[VAR]],T:T)</f>
        <v>32</v>
      </c>
      <c r="AA35" s="1">
        <f>VLOOKUP(Tabell15[[#This Row],[Namn]],Tabell4[[Namn]:[SENASTE]],6,0)</f>
        <v>2019</v>
      </c>
    </row>
    <row r="36" spans="1:27" x14ac:dyDescent="0.2">
      <c r="A36">
        <v>2023</v>
      </c>
      <c r="B36" t="s">
        <v>69</v>
      </c>
      <c r="C36">
        <v>22</v>
      </c>
      <c r="D36">
        <v>1</v>
      </c>
      <c r="E36">
        <v>1</v>
      </c>
      <c r="F36">
        <v>0</v>
      </c>
      <c r="G36">
        <v>0</v>
      </c>
      <c r="H36">
        <v>22</v>
      </c>
      <c r="I36">
        <v>0</v>
      </c>
      <c r="J36">
        <v>2023</v>
      </c>
      <c r="K36">
        <v>1996</v>
      </c>
      <c r="L36">
        <v>27</v>
      </c>
      <c r="M36">
        <v>2</v>
      </c>
      <c r="O36" s="10">
        <f>Tabell15[[#This Row],[RANK MÅL]]</f>
        <v>12</v>
      </c>
      <c r="P36" s="10">
        <f>Tabell15[[#This Row],[RANK MAT]]</f>
        <v>52</v>
      </c>
      <c r="Q36" t="s">
        <v>93</v>
      </c>
      <c r="R36" s="1">
        <f>SUMIF(B:B,Tabell15[[#This Row],[Namn]],C:C)</f>
        <v>9</v>
      </c>
      <c r="S36" s="5">
        <f>Tabell15[[#This Row],[MAT]]/Tabell15[[#This Row],[LAG MATCH]]</f>
        <v>0.81818181818181823</v>
      </c>
      <c r="T36" s="1">
        <f>SUMIF(B:B,Tabell15[[#This Row],[Namn]],E:E)</f>
        <v>0</v>
      </c>
      <c r="U36" s="1">
        <f>SUMIF(B:B,Tabell15[[#This Row],[Namn]],F:F)</f>
        <v>0</v>
      </c>
      <c r="V36" s="1">
        <f>SUMIF(B:B,Tabell15[[#This Row],[Namn]],G:G)</f>
        <v>9</v>
      </c>
      <c r="W36" s="1">
        <f>SUMIF(B:B,Tabell15[[#This Row],[Namn]],H:H)</f>
        <v>11</v>
      </c>
      <c r="X36" s="1">
        <f>RANK(Tabell15[[#This Row],[MAT]],R:R)</f>
        <v>52</v>
      </c>
      <c r="Y36" s="1">
        <f>RANK(Tabell15[[#This Row],[MÅL]],V:V)</f>
        <v>12</v>
      </c>
      <c r="Z36" s="1">
        <f>RANK(Tabell15[[#This Row],[VAR]],T:T)</f>
        <v>32</v>
      </c>
      <c r="AA36" s="1">
        <f>VLOOKUP(Tabell15[[#This Row],[Namn]],Tabell4[[Namn]:[SENASTE]],6,0)</f>
        <v>2021</v>
      </c>
    </row>
    <row r="37" spans="1:27" x14ac:dyDescent="0.2">
      <c r="A37">
        <v>2023</v>
      </c>
      <c r="B37" t="s">
        <v>70</v>
      </c>
      <c r="C37">
        <v>21</v>
      </c>
      <c r="D37">
        <v>0.95454545454545459</v>
      </c>
      <c r="E37">
        <v>1</v>
      </c>
      <c r="F37">
        <v>0</v>
      </c>
      <c r="G37">
        <v>10</v>
      </c>
      <c r="H37">
        <v>22</v>
      </c>
      <c r="I37">
        <v>0.47619047619047616</v>
      </c>
      <c r="J37">
        <v>2023</v>
      </c>
      <c r="K37">
        <v>1997</v>
      </c>
      <c r="L37">
        <v>26</v>
      </c>
      <c r="M37">
        <v>2</v>
      </c>
      <c r="O37" s="1">
        <f>Tabell15[[#This Row],[RANK MÅL]]</f>
        <v>16</v>
      </c>
      <c r="P37" s="1">
        <f>Tabell15[[#This Row],[RANK MAT]]</f>
        <v>13</v>
      </c>
      <c r="Q37" t="s">
        <v>89</v>
      </c>
      <c r="R37" s="1">
        <f>SUMIF(B:B,Tabell15[[#This Row],[Namn]],C:C)</f>
        <v>49</v>
      </c>
      <c r="S37" s="5">
        <f>Tabell15[[#This Row],[MAT]]/Tabell15[[#This Row],[LAG MATCH]]</f>
        <v>0.59036144578313254</v>
      </c>
      <c r="T37" s="1">
        <f>SUMIF(B:B,Tabell15[[#This Row],[Namn]],E:E)</f>
        <v>0</v>
      </c>
      <c r="U37" s="1">
        <f>SUMIF(B:B,Tabell15[[#This Row],[Namn]],F:F)</f>
        <v>0</v>
      </c>
      <c r="V37" s="1">
        <f>SUMIF(B:B,Tabell15[[#This Row],[Namn]],G:G)</f>
        <v>8</v>
      </c>
      <c r="W37" s="1">
        <f>SUMIF(B:B,Tabell15[[#This Row],[Namn]],H:H)</f>
        <v>83</v>
      </c>
      <c r="X37" s="1">
        <f>RANK(Tabell15[[#This Row],[MAT]],R:R)</f>
        <v>13</v>
      </c>
      <c r="Y37" s="1">
        <f>RANK(Tabell15[[#This Row],[MÅL]],V:V)</f>
        <v>16</v>
      </c>
      <c r="Z37" s="1">
        <f>RANK(Tabell15[[#This Row],[VAR]],T:T)</f>
        <v>32</v>
      </c>
      <c r="AA37" s="1">
        <f>VLOOKUP(Tabell15[[#This Row],[Namn]],Tabell4[[Namn]:[SENASTE]],6,0)</f>
        <v>2022</v>
      </c>
    </row>
    <row r="38" spans="1:27" x14ac:dyDescent="0.2">
      <c r="A38">
        <v>2023</v>
      </c>
      <c r="B38" t="s">
        <v>66</v>
      </c>
      <c r="C38">
        <v>21</v>
      </c>
      <c r="D38">
        <v>0.95454545454545459</v>
      </c>
      <c r="E38">
        <v>2</v>
      </c>
      <c r="F38">
        <v>0</v>
      </c>
      <c r="G38">
        <v>1</v>
      </c>
      <c r="H38">
        <v>22</v>
      </c>
      <c r="I38">
        <v>4.7619047619047616E-2</v>
      </c>
      <c r="J38">
        <v>2023</v>
      </c>
      <c r="K38">
        <v>1997</v>
      </c>
      <c r="L38">
        <v>26</v>
      </c>
      <c r="M38">
        <v>2</v>
      </c>
      <c r="O38" s="10">
        <f>Tabell15[[#This Row],[RANK MÅL]]</f>
        <v>16</v>
      </c>
      <c r="P38" s="10">
        <f>Tabell15[[#This Row],[RANK MAT]]</f>
        <v>40</v>
      </c>
      <c r="Q38" t="s">
        <v>106</v>
      </c>
      <c r="R38" s="1">
        <f>SUMIF(B:B,Tabell15[[#This Row],[Namn]],C:C)</f>
        <v>19</v>
      </c>
      <c r="S38" s="5">
        <f>Tabell15[[#This Row],[MAT]]/Tabell15[[#This Row],[LAG MATCH]]</f>
        <v>0.73076923076923073</v>
      </c>
      <c r="T38" s="1">
        <f>SUMIF(B:B,Tabell15[[#This Row],[Namn]],E:E)</f>
        <v>0</v>
      </c>
      <c r="U38" s="1">
        <f>SUMIF(B:B,Tabell15[[#This Row],[Namn]],F:F)</f>
        <v>0</v>
      </c>
      <c r="V38" s="1">
        <f>SUMIF(B:B,Tabell15[[#This Row],[Namn]],G:G)</f>
        <v>8</v>
      </c>
      <c r="W38" s="1">
        <f>SUMIF(B:B,Tabell15[[#This Row],[Namn]],H:H)</f>
        <v>26</v>
      </c>
      <c r="X38" s="1">
        <f>RANK(Tabell15[[#This Row],[MAT]],R:R)</f>
        <v>40</v>
      </c>
      <c r="Y38" s="1">
        <f>RANK(Tabell15[[#This Row],[MÅL]],V:V)</f>
        <v>16</v>
      </c>
      <c r="Z38" s="1">
        <f>RANK(Tabell15[[#This Row],[VAR]],T:T)</f>
        <v>32</v>
      </c>
      <c r="AA38" s="1">
        <f>VLOOKUP(Tabell15[[#This Row],[Namn]],Tabell4[[Namn]:[SENASTE]],6,0)</f>
        <v>2019</v>
      </c>
    </row>
    <row r="39" spans="1:27" x14ac:dyDescent="0.2">
      <c r="A39">
        <v>2023</v>
      </c>
      <c r="B39" t="s">
        <v>59</v>
      </c>
      <c r="C39">
        <v>21</v>
      </c>
      <c r="D39">
        <v>0.95454545454545459</v>
      </c>
      <c r="E39">
        <v>2</v>
      </c>
      <c r="F39">
        <v>0</v>
      </c>
      <c r="G39">
        <v>0</v>
      </c>
      <c r="H39">
        <v>22</v>
      </c>
      <c r="I39">
        <v>0</v>
      </c>
      <c r="J39">
        <v>2023</v>
      </c>
      <c r="K39">
        <v>1989</v>
      </c>
      <c r="L39">
        <v>34</v>
      </c>
      <c r="M39">
        <v>2</v>
      </c>
      <c r="O39" s="1">
        <f>Tabell15[[#This Row],[RANK MÅL]]</f>
        <v>19</v>
      </c>
      <c r="P39" s="1">
        <f>Tabell15[[#This Row],[RANK MAT]]</f>
        <v>12</v>
      </c>
      <c r="Q39" t="s">
        <v>80</v>
      </c>
      <c r="R39" s="1">
        <f>SUMIF(B:B,Tabell15[[#This Row],[Namn]],C:C)</f>
        <v>50</v>
      </c>
      <c r="S39" s="5">
        <f>Tabell15[[#This Row],[MAT]]/Tabell15[[#This Row],[LAG MATCH]]</f>
        <v>0.51020408163265307</v>
      </c>
      <c r="T39" s="1">
        <f>SUMIF(B:B,Tabell15[[#This Row],[Namn]],E:E)</f>
        <v>0</v>
      </c>
      <c r="U39" s="1">
        <f>SUMIF(B:B,Tabell15[[#This Row],[Namn]],F:F)</f>
        <v>0</v>
      </c>
      <c r="V39" s="1">
        <f>SUMIF(B:B,Tabell15[[#This Row],[Namn]],G:G)</f>
        <v>6</v>
      </c>
      <c r="W39" s="1">
        <f>SUMIF(B:B,Tabell15[[#This Row],[Namn]],H:H)</f>
        <v>98</v>
      </c>
      <c r="X39" s="1">
        <f>RANK(Tabell15[[#This Row],[MAT]],R:R)</f>
        <v>12</v>
      </c>
      <c r="Y39" s="1">
        <f>RANK(Tabell15[[#This Row],[MÅL]],V:V)</f>
        <v>19</v>
      </c>
      <c r="Z39" s="1">
        <f>RANK(Tabell15[[#This Row],[VAR]],T:T)</f>
        <v>32</v>
      </c>
      <c r="AA39" s="1">
        <f>VLOOKUP(Tabell15[[#This Row],[Namn]],Tabell4[[Namn]:[SENASTE]],6,0)</f>
        <v>2023</v>
      </c>
    </row>
    <row r="40" spans="1:27" x14ac:dyDescent="0.2">
      <c r="A40">
        <v>2023</v>
      </c>
      <c r="B40" t="s">
        <v>36</v>
      </c>
      <c r="C40">
        <v>20</v>
      </c>
      <c r="D40">
        <v>0.90909090909090906</v>
      </c>
      <c r="E40">
        <v>0</v>
      </c>
      <c r="F40">
        <v>0</v>
      </c>
      <c r="G40">
        <v>8</v>
      </c>
      <c r="H40">
        <v>22</v>
      </c>
      <c r="I40">
        <v>0.4</v>
      </c>
      <c r="J40">
        <v>2023</v>
      </c>
      <c r="K40">
        <v>2002</v>
      </c>
      <c r="L40">
        <v>21</v>
      </c>
      <c r="M40">
        <v>2</v>
      </c>
      <c r="O40" s="10">
        <f>Tabell15[[#This Row],[RANK MÅL]]</f>
        <v>21</v>
      </c>
      <c r="P40" s="10">
        <f>Tabell15[[#This Row],[RANK MAT]]</f>
        <v>22</v>
      </c>
      <c r="Q40" t="s">
        <v>28</v>
      </c>
      <c r="R40" s="1">
        <f>SUMIF(B:B,Tabell15[[#This Row],[Namn]],C:C)</f>
        <v>34</v>
      </c>
      <c r="S40" s="5">
        <f>Tabell15[[#This Row],[MAT]]/Tabell15[[#This Row],[LAG MATCH]]</f>
        <v>0.68</v>
      </c>
      <c r="T40" s="1">
        <f>SUMIF(B:B,Tabell15[[#This Row],[Namn]],E:E)</f>
        <v>0</v>
      </c>
      <c r="U40" s="1">
        <f>SUMIF(B:B,Tabell15[[#This Row],[Namn]],F:F)</f>
        <v>0</v>
      </c>
      <c r="V40" s="1">
        <f>SUMIF(B:B,Tabell15[[#This Row],[Namn]],G:G)</f>
        <v>5</v>
      </c>
      <c r="W40" s="1">
        <f>SUMIF(B:B,Tabell15[[#This Row],[Namn]],H:H)</f>
        <v>50</v>
      </c>
      <c r="X40" s="1">
        <f>RANK(Tabell15[[#This Row],[MAT]],R:R)</f>
        <v>22</v>
      </c>
      <c r="Y40" s="1">
        <f>RANK(Tabell15[[#This Row],[MÅL]],V:V)</f>
        <v>21</v>
      </c>
      <c r="Z40" s="1">
        <f>RANK(Tabell15[[#This Row],[VAR]],T:T)</f>
        <v>32</v>
      </c>
      <c r="AA40" s="1">
        <f>VLOOKUP(Tabell15[[#This Row],[Namn]],Tabell4[[Namn]:[SENASTE]],6,0)</f>
        <v>2026</v>
      </c>
    </row>
    <row r="41" spans="1:27" x14ac:dyDescent="0.2">
      <c r="A41">
        <v>2023</v>
      </c>
      <c r="B41" t="s">
        <v>43</v>
      </c>
      <c r="C41">
        <v>19</v>
      </c>
      <c r="D41">
        <v>0.86363636363636365</v>
      </c>
      <c r="E41">
        <v>0</v>
      </c>
      <c r="F41">
        <v>0</v>
      </c>
      <c r="G41">
        <v>6</v>
      </c>
      <c r="H41">
        <v>22</v>
      </c>
      <c r="I41">
        <v>0.31578947368421051</v>
      </c>
      <c r="J41">
        <v>2023</v>
      </c>
      <c r="K41">
        <v>2002</v>
      </c>
      <c r="L41">
        <v>21</v>
      </c>
      <c r="M41">
        <v>2</v>
      </c>
      <c r="O41" s="1">
        <f>Tabell15[[#This Row],[RANK MÅL]]</f>
        <v>26</v>
      </c>
      <c r="P41" s="1">
        <f>Tabell15[[#This Row],[RANK MAT]]</f>
        <v>29</v>
      </c>
      <c r="Q41" t="s">
        <v>57</v>
      </c>
      <c r="R41" s="1">
        <f>SUMIF(B:B,Tabell15[[#This Row],[Namn]],C:C)</f>
        <v>26</v>
      </c>
      <c r="S41" s="5">
        <f>Tabell15[[#This Row],[MAT]]/Tabell15[[#This Row],[LAG MATCH]]</f>
        <v>0.9285714285714286</v>
      </c>
      <c r="T41" s="1">
        <f>SUMIF(B:B,Tabell15[[#This Row],[Namn]],E:E)</f>
        <v>0</v>
      </c>
      <c r="U41" s="1">
        <f>SUMIF(B:B,Tabell15[[#This Row],[Namn]],F:F)</f>
        <v>0</v>
      </c>
      <c r="V41" s="1">
        <f>SUMIF(B:B,Tabell15[[#This Row],[Namn]],G:G)</f>
        <v>3</v>
      </c>
      <c r="W41" s="1">
        <f>SUMIF(B:B,Tabell15[[#This Row],[Namn]],H:H)</f>
        <v>28</v>
      </c>
      <c r="X41" s="1">
        <f>RANK(Tabell15[[#This Row],[MAT]],R:R)</f>
        <v>29</v>
      </c>
      <c r="Y41" s="1">
        <f>RANK(Tabell15[[#This Row],[MÅL]],V:V)</f>
        <v>26</v>
      </c>
      <c r="Z41" s="1">
        <f>RANK(Tabell15[[#This Row],[VAR]],T:T)</f>
        <v>32</v>
      </c>
      <c r="AA41" s="1">
        <f>VLOOKUP(Tabell15[[#This Row],[Namn]],Tabell4[[Namn]:[SENASTE]],6,0)</f>
        <v>2024</v>
      </c>
    </row>
    <row r="42" spans="1:27" x14ac:dyDescent="0.2">
      <c r="A42">
        <v>2023</v>
      </c>
      <c r="B42" t="s">
        <v>71</v>
      </c>
      <c r="C42">
        <v>16</v>
      </c>
      <c r="D42">
        <v>0.72727272727272729</v>
      </c>
      <c r="E42">
        <v>0</v>
      </c>
      <c r="F42">
        <v>0</v>
      </c>
      <c r="G42">
        <v>0</v>
      </c>
      <c r="H42">
        <v>22</v>
      </c>
      <c r="I42">
        <v>0</v>
      </c>
      <c r="J42">
        <v>2023</v>
      </c>
      <c r="K42">
        <v>2004</v>
      </c>
      <c r="L42">
        <v>19</v>
      </c>
      <c r="M42">
        <v>2</v>
      </c>
      <c r="O42" s="10">
        <f>Tabell15[[#This Row],[RANK MÅL]]</f>
        <v>26</v>
      </c>
      <c r="P42" s="10">
        <f>Tabell15[[#This Row],[RANK MAT]]</f>
        <v>43</v>
      </c>
      <c r="Q42" t="s">
        <v>40</v>
      </c>
      <c r="R42" s="1">
        <f>SUMIF(B:B,Tabell15[[#This Row],[Namn]],C:C)</f>
        <v>17</v>
      </c>
      <c r="S42" s="5">
        <f>Tabell15[[#This Row],[MAT]]/Tabell15[[#This Row],[LAG MATCH]]</f>
        <v>0.6071428571428571</v>
      </c>
      <c r="T42" s="1">
        <f>SUMIF(B:B,Tabell15[[#This Row],[Namn]],E:E)</f>
        <v>0</v>
      </c>
      <c r="U42" s="1">
        <f>SUMIF(B:B,Tabell15[[#This Row],[Namn]],F:F)</f>
        <v>0</v>
      </c>
      <c r="V42" s="1">
        <f>SUMIF(B:B,Tabell15[[#This Row],[Namn]],G:G)</f>
        <v>3</v>
      </c>
      <c r="W42" s="1">
        <f>SUMIF(B:B,Tabell15[[#This Row],[Namn]],H:H)</f>
        <v>28</v>
      </c>
      <c r="X42" s="1">
        <f>RANK(Tabell15[[#This Row],[MAT]],R:R)</f>
        <v>43</v>
      </c>
      <c r="Y42" s="1">
        <f>RANK(Tabell15[[#This Row],[MÅL]],V:V)</f>
        <v>26</v>
      </c>
      <c r="Z42" s="1">
        <f>RANK(Tabell15[[#This Row],[VAR]],T:T)</f>
        <v>32</v>
      </c>
      <c r="AA42" s="1">
        <f>VLOOKUP(Tabell15[[#This Row],[Namn]],Tabell4[[Namn]:[SENASTE]],6,0)</f>
        <v>2026</v>
      </c>
    </row>
    <row r="43" spans="1:27" x14ac:dyDescent="0.2">
      <c r="A43">
        <v>2023</v>
      </c>
      <c r="B43" t="s">
        <v>72</v>
      </c>
      <c r="C43">
        <v>14</v>
      </c>
      <c r="D43">
        <v>0.63636363636363635</v>
      </c>
      <c r="E43">
        <v>1</v>
      </c>
      <c r="F43">
        <v>0</v>
      </c>
      <c r="G43">
        <v>4</v>
      </c>
      <c r="H43">
        <v>22</v>
      </c>
      <c r="I43">
        <v>0.2857142857142857</v>
      </c>
      <c r="J43">
        <v>2023</v>
      </c>
      <c r="K43">
        <v>2003</v>
      </c>
      <c r="L43">
        <v>20</v>
      </c>
      <c r="M43">
        <v>2</v>
      </c>
      <c r="O43" s="1">
        <f>Tabell15[[#This Row],[RANK MÅL]]</f>
        <v>30</v>
      </c>
      <c r="P43" s="1">
        <f>Tabell15[[#This Row],[RANK MAT]]</f>
        <v>65</v>
      </c>
      <c r="Q43" t="s">
        <v>46</v>
      </c>
      <c r="R43" s="1">
        <f>SUMIF(B:B,Tabell15[[#This Row],[Namn]],C:C)</f>
        <v>3</v>
      </c>
      <c r="S43" s="5">
        <f>Tabell15[[#This Row],[MAT]]/Tabell15[[#This Row],[LAG MATCH]]</f>
        <v>0.10714285714285714</v>
      </c>
      <c r="T43" s="1">
        <f>SUMIF(B:B,Tabell15[[#This Row],[Namn]],E:E)</f>
        <v>0</v>
      </c>
      <c r="U43" s="1">
        <f>SUMIF(B:B,Tabell15[[#This Row],[Namn]],F:F)</f>
        <v>0</v>
      </c>
      <c r="V43" s="1">
        <f>SUMIF(B:B,Tabell15[[#This Row],[Namn]],G:G)</f>
        <v>2</v>
      </c>
      <c r="W43" s="1">
        <f>SUMIF(B:B,Tabell15[[#This Row],[Namn]],H:H)</f>
        <v>28</v>
      </c>
      <c r="X43" s="1">
        <f>RANK(Tabell15[[#This Row],[MAT]],R:R)</f>
        <v>65</v>
      </c>
      <c r="Y43" s="1">
        <f>RANK(Tabell15[[#This Row],[MÅL]],V:V)</f>
        <v>30</v>
      </c>
      <c r="Z43" s="1">
        <f>RANK(Tabell15[[#This Row],[VAR]],T:T)</f>
        <v>32</v>
      </c>
      <c r="AA43" s="1">
        <f>VLOOKUP(Tabell15[[#This Row],[Namn]],Tabell4[[Namn]:[SENASTE]],6,0)</f>
        <v>2025</v>
      </c>
    </row>
    <row r="44" spans="1:27" x14ac:dyDescent="0.2">
      <c r="A44">
        <v>2023</v>
      </c>
      <c r="B44" t="s">
        <v>73</v>
      </c>
      <c r="C44">
        <v>14</v>
      </c>
      <c r="D44">
        <v>0.63636363636363635</v>
      </c>
      <c r="E44">
        <v>0</v>
      </c>
      <c r="F44">
        <v>0</v>
      </c>
      <c r="G44">
        <v>1</v>
      </c>
      <c r="H44">
        <v>22</v>
      </c>
      <c r="I44">
        <v>7.1428571428571425E-2</v>
      </c>
      <c r="J44">
        <v>2023</v>
      </c>
      <c r="K44">
        <v>2008</v>
      </c>
      <c r="L44">
        <v>15</v>
      </c>
      <c r="M44">
        <v>2</v>
      </c>
      <c r="O44" s="10">
        <f>Tabell15[[#This Row],[RANK MÅL]]</f>
        <v>30</v>
      </c>
      <c r="P44" s="10">
        <f>Tabell15[[#This Row],[RANK MAT]]</f>
        <v>15</v>
      </c>
      <c r="Q44" t="s">
        <v>101</v>
      </c>
      <c r="R44" s="1">
        <f>SUMIF(B:B,Tabell15[[#This Row],[Namn]],C:C)</f>
        <v>40</v>
      </c>
      <c r="S44" s="5">
        <f>Tabell15[[#This Row],[MAT]]/Tabell15[[#This Row],[LAG MATCH]]</f>
        <v>0.7407407407407407</v>
      </c>
      <c r="T44" s="1">
        <f>SUMIF(B:B,Tabell15[[#This Row],[Namn]],E:E)</f>
        <v>0</v>
      </c>
      <c r="U44" s="1">
        <f>SUMIF(B:B,Tabell15[[#This Row],[Namn]],F:F)</f>
        <v>0</v>
      </c>
      <c r="V44" s="1">
        <f>SUMIF(B:B,Tabell15[[#This Row],[Namn]],G:G)</f>
        <v>2</v>
      </c>
      <c r="W44" s="1">
        <f>SUMIF(B:B,Tabell15[[#This Row],[Namn]],H:H)</f>
        <v>54</v>
      </c>
      <c r="X44" s="1">
        <f>RANK(Tabell15[[#This Row],[MAT]],R:R)</f>
        <v>15</v>
      </c>
      <c r="Y44" s="1">
        <f>RANK(Tabell15[[#This Row],[MÅL]],V:V)</f>
        <v>30</v>
      </c>
      <c r="Z44" s="1">
        <f>RANK(Tabell15[[#This Row],[VAR]],T:T)</f>
        <v>32</v>
      </c>
      <c r="AA44" s="1">
        <f>VLOOKUP(Tabell15[[#This Row],[Namn]],Tabell4[[Namn]:[SENASTE]],6,0)</f>
        <v>2020</v>
      </c>
    </row>
    <row r="45" spans="1:27" x14ac:dyDescent="0.2">
      <c r="A45">
        <v>2023</v>
      </c>
      <c r="B45" t="s">
        <v>74</v>
      </c>
      <c r="C45">
        <v>13</v>
      </c>
      <c r="D45">
        <v>0.59090909090909094</v>
      </c>
      <c r="E45">
        <v>0</v>
      </c>
      <c r="F45">
        <v>0</v>
      </c>
      <c r="G45">
        <v>0</v>
      </c>
      <c r="H45">
        <v>22</v>
      </c>
      <c r="I45">
        <v>0</v>
      </c>
      <c r="J45">
        <v>2023</v>
      </c>
      <c r="K45">
        <v>1996</v>
      </c>
      <c r="L45">
        <v>27</v>
      </c>
      <c r="M45">
        <v>2</v>
      </c>
      <c r="O45" s="1">
        <f>Tabell15[[#This Row],[RANK MÅL]]</f>
        <v>33</v>
      </c>
      <c r="P45" s="1">
        <f>Tabell15[[#This Row],[RANK MAT]]</f>
        <v>75</v>
      </c>
      <c r="Q45" t="s">
        <v>67</v>
      </c>
      <c r="R45" s="1">
        <f>SUMIF(B:B,Tabell15[[#This Row],[Namn]],C:C)</f>
        <v>1</v>
      </c>
      <c r="S45" s="5">
        <f>Tabell15[[#This Row],[MAT]]/Tabell15[[#This Row],[LAG MATCH]]</f>
        <v>3.5714285714285712E-2</v>
      </c>
      <c r="T45" s="1">
        <f>SUMIF(B:B,Tabell15[[#This Row],[Namn]],E:E)</f>
        <v>0</v>
      </c>
      <c r="U45" s="1">
        <f>SUMIF(B:B,Tabell15[[#This Row],[Namn]],F:F)</f>
        <v>0</v>
      </c>
      <c r="V45" s="1">
        <f>SUMIF(B:B,Tabell15[[#This Row],[Namn]],G:G)</f>
        <v>1</v>
      </c>
      <c r="W45" s="1">
        <f>SUMIF(B:B,Tabell15[[#This Row],[Namn]],H:H)</f>
        <v>28</v>
      </c>
      <c r="X45" s="1">
        <f>RANK(Tabell15[[#This Row],[MAT]],R:R)</f>
        <v>75</v>
      </c>
      <c r="Y45" s="1">
        <f>RANK(Tabell15[[#This Row],[MÅL]],V:V)</f>
        <v>33</v>
      </c>
      <c r="Z45" s="1">
        <f>RANK(Tabell15[[#This Row],[VAR]],T:T)</f>
        <v>32</v>
      </c>
      <c r="AA45" s="1">
        <f>VLOOKUP(Tabell15[[#This Row],[Namn]],Tabell4[[Namn]:[SENASTE]],6,0)</f>
        <v>2024</v>
      </c>
    </row>
    <row r="46" spans="1:27" x14ac:dyDescent="0.2">
      <c r="A46">
        <v>2023</v>
      </c>
      <c r="B46" t="s">
        <v>62</v>
      </c>
      <c r="C46">
        <v>12</v>
      </c>
      <c r="D46">
        <v>0.54545454545454541</v>
      </c>
      <c r="E46">
        <v>0</v>
      </c>
      <c r="F46">
        <v>0</v>
      </c>
      <c r="G46">
        <v>0</v>
      </c>
      <c r="H46">
        <v>22</v>
      </c>
      <c r="I46">
        <v>0</v>
      </c>
      <c r="J46">
        <v>2023</v>
      </c>
      <c r="K46">
        <v>2001</v>
      </c>
      <c r="L46">
        <v>22</v>
      </c>
      <c r="M46">
        <v>2</v>
      </c>
      <c r="O46" s="10">
        <f>Tabell15[[#This Row],[RANK MÅL]]</f>
        <v>33</v>
      </c>
      <c r="P46" s="10">
        <f>Tabell15[[#This Row],[RANK MAT]]</f>
        <v>20</v>
      </c>
      <c r="Q46" t="s">
        <v>79</v>
      </c>
      <c r="R46" s="1">
        <f>SUMIF(B:B,Tabell15[[#This Row],[Namn]],C:C)</f>
        <v>35</v>
      </c>
      <c r="S46" s="5">
        <f>Tabell15[[#This Row],[MAT]]/Tabell15[[#This Row],[LAG MATCH]]</f>
        <v>0.4861111111111111</v>
      </c>
      <c r="T46" s="1">
        <f>SUMIF(B:B,Tabell15[[#This Row],[Namn]],E:E)</f>
        <v>0</v>
      </c>
      <c r="U46" s="1">
        <f>SUMIF(B:B,Tabell15[[#This Row],[Namn]],F:F)</f>
        <v>0</v>
      </c>
      <c r="V46" s="1">
        <f>SUMIF(B:B,Tabell15[[#This Row],[Namn]],G:G)</f>
        <v>1</v>
      </c>
      <c r="W46" s="1">
        <f>SUMIF(B:B,Tabell15[[#This Row],[Namn]],H:H)</f>
        <v>72</v>
      </c>
      <c r="X46" s="1">
        <f>RANK(Tabell15[[#This Row],[MAT]],R:R)</f>
        <v>20</v>
      </c>
      <c r="Y46" s="1">
        <f>RANK(Tabell15[[#This Row],[MÅL]],V:V)</f>
        <v>33</v>
      </c>
      <c r="Z46" s="1">
        <f>RANK(Tabell15[[#This Row],[VAR]],T:T)</f>
        <v>32</v>
      </c>
      <c r="AA46" s="1">
        <f>VLOOKUP(Tabell15[[#This Row],[Namn]],Tabell4[[Namn]:[SENASTE]],6,0)</f>
        <v>2023</v>
      </c>
    </row>
    <row r="47" spans="1:27" x14ac:dyDescent="0.2">
      <c r="A47">
        <v>2023</v>
      </c>
      <c r="B47" t="s">
        <v>61</v>
      </c>
      <c r="C47">
        <v>11</v>
      </c>
      <c r="D47">
        <v>0.5</v>
      </c>
      <c r="E47">
        <v>1</v>
      </c>
      <c r="F47">
        <v>0</v>
      </c>
      <c r="G47">
        <v>0</v>
      </c>
      <c r="H47">
        <v>22</v>
      </c>
      <c r="I47">
        <v>0</v>
      </c>
      <c r="J47">
        <v>2023</v>
      </c>
      <c r="K47">
        <v>2003</v>
      </c>
      <c r="L47">
        <v>20</v>
      </c>
      <c r="M47">
        <v>2</v>
      </c>
      <c r="O47" s="1">
        <f>Tabell15[[#This Row],[RANK MÅL]]</f>
        <v>33</v>
      </c>
      <c r="P47" s="1">
        <f>Tabell15[[#This Row],[RANK MAT]]</f>
        <v>47</v>
      </c>
      <c r="Q47" t="s">
        <v>73</v>
      </c>
      <c r="R47" s="1">
        <f>SUMIF(B:B,Tabell15[[#This Row],[Namn]],C:C)</f>
        <v>14</v>
      </c>
      <c r="S47" s="5">
        <f>Tabell15[[#This Row],[MAT]]/Tabell15[[#This Row],[LAG MATCH]]</f>
        <v>0.63636363636363635</v>
      </c>
      <c r="T47" s="1">
        <f>SUMIF(B:B,Tabell15[[#This Row],[Namn]],E:E)</f>
        <v>0</v>
      </c>
      <c r="U47" s="1">
        <f>SUMIF(B:B,Tabell15[[#This Row],[Namn]],F:F)</f>
        <v>0</v>
      </c>
      <c r="V47" s="1">
        <f>SUMIF(B:B,Tabell15[[#This Row],[Namn]],G:G)</f>
        <v>1</v>
      </c>
      <c r="W47" s="1">
        <f>SUMIF(B:B,Tabell15[[#This Row],[Namn]],H:H)</f>
        <v>22</v>
      </c>
      <c r="X47" s="1">
        <f>RANK(Tabell15[[#This Row],[MAT]],R:R)</f>
        <v>47</v>
      </c>
      <c r="Y47" s="1">
        <f>RANK(Tabell15[[#This Row],[MÅL]],V:V)</f>
        <v>33</v>
      </c>
      <c r="Z47" s="1">
        <f>RANK(Tabell15[[#This Row],[VAR]],T:T)</f>
        <v>32</v>
      </c>
      <c r="AA47" s="1">
        <f>VLOOKUP(Tabell15[[#This Row],[Namn]],Tabell4[[Namn]:[SENASTE]],6,0)</f>
        <v>2023</v>
      </c>
    </row>
    <row r="48" spans="1:27" x14ac:dyDescent="0.2">
      <c r="A48">
        <v>2023</v>
      </c>
      <c r="B48" t="s">
        <v>58</v>
      </c>
      <c r="C48">
        <v>11</v>
      </c>
      <c r="D48">
        <v>0.5</v>
      </c>
      <c r="E48">
        <v>0</v>
      </c>
      <c r="F48">
        <v>0</v>
      </c>
      <c r="G48">
        <v>0</v>
      </c>
      <c r="H48">
        <v>22</v>
      </c>
      <c r="I48">
        <v>0</v>
      </c>
      <c r="J48">
        <v>2023</v>
      </c>
      <c r="K48">
        <v>1999</v>
      </c>
      <c r="L48">
        <v>24</v>
      </c>
      <c r="M48">
        <v>2</v>
      </c>
      <c r="O48" s="10">
        <f>Tabell15[[#This Row],[RANK MÅL]]</f>
        <v>33</v>
      </c>
      <c r="P48" s="10">
        <f>Tabell15[[#This Row],[RANK MAT]]</f>
        <v>60</v>
      </c>
      <c r="Q48" t="s">
        <v>78</v>
      </c>
      <c r="R48" s="1">
        <f>SUMIF(B:B,Tabell15[[#This Row],[Namn]],C:C)</f>
        <v>4</v>
      </c>
      <c r="S48" s="5">
        <f>Tabell15[[#This Row],[MAT]]/Tabell15[[#This Row],[LAG MATCH]]</f>
        <v>0.18181818181818182</v>
      </c>
      <c r="T48" s="1">
        <f>SUMIF(B:B,Tabell15[[#This Row],[Namn]],E:E)</f>
        <v>0</v>
      </c>
      <c r="U48" s="1">
        <f>SUMIF(B:B,Tabell15[[#This Row],[Namn]],F:F)</f>
        <v>0</v>
      </c>
      <c r="V48" s="1">
        <f>SUMIF(B:B,Tabell15[[#This Row],[Namn]],G:G)</f>
        <v>1</v>
      </c>
      <c r="W48" s="1">
        <f>SUMIF(B:B,Tabell15[[#This Row],[Namn]],H:H)</f>
        <v>22</v>
      </c>
      <c r="X48" s="1">
        <f>RANK(Tabell15[[#This Row],[MAT]],R:R)</f>
        <v>60</v>
      </c>
      <c r="Y48" s="1">
        <f>RANK(Tabell15[[#This Row],[MÅL]],V:V)</f>
        <v>33</v>
      </c>
      <c r="Z48" s="1">
        <f>RANK(Tabell15[[#This Row],[VAR]],T:T)</f>
        <v>32</v>
      </c>
      <c r="AA48" s="1">
        <f>VLOOKUP(Tabell15[[#This Row],[Namn]],Tabell4[[Namn]:[SENASTE]],6,0)</f>
        <v>2023</v>
      </c>
    </row>
    <row r="49" spans="1:27" x14ac:dyDescent="0.2">
      <c r="A49">
        <v>2023</v>
      </c>
      <c r="B49" t="s">
        <v>75</v>
      </c>
      <c r="C49">
        <v>11</v>
      </c>
      <c r="D49">
        <v>0.5</v>
      </c>
      <c r="E49">
        <v>0</v>
      </c>
      <c r="F49">
        <v>0</v>
      </c>
      <c r="G49">
        <v>0</v>
      </c>
      <c r="H49">
        <v>22</v>
      </c>
      <c r="I49">
        <v>0</v>
      </c>
      <c r="J49">
        <v>2023</v>
      </c>
      <c r="K49">
        <v>1999</v>
      </c>
      <c r="L49">
        <v>24</v>
      </c>
      <c r="M49">
        <v>2</v>
      </c>
      <c r="O49" s="1">
        <f>Tabell15[[#This Row],[RANK MÅL]]</f>
        <v>33</v>
      </c>
      <c r="P49" s="1">
        <f>Tabell15[[#This Row],[RANK MAT]]</f>
        <v>29</v>
      </c>
      <c r="Q49" t="s">
        <v>86</v>
      </c>
      <c r="R49" s="1">
        <f>SUMIF(B:B,Tabell15[[#This Row],[Namn]],C:C)</f>
        <v>26</v>
      </c>
      <c r="S49" s="5">
        <f>Tabell15[[#This Row],[MAT]]/Tabell15[[#This Row],[LAG MATCH]]</f>
        <v>0.34210526315789475</v>
      </c>
      <c r="T49" s="1">
        <f>SUMIF(B:B,Tabell15[[#This Row],[Namn]],E:E)</f>
        <v>0</v>
      </c>
      <c r="U49" s="1">
        <f>SUMIF(B:B,Tabell15[[#This Row],[Namn]],F:F)</f>
        <v>0</v>
      </c>
      <c r="V49" s="1">
        <f>SUMIF(B:B,Tabell15[[#This Row],[Namn]],G:G)</f>
        <v>1</v>
      </c>
      <c r="W49" s="1">
        <f>SUMIF(B:B,Tabell15[[#This Row],[Namn]],H:H)</f>
        <v>76</v>
      </c>
      <c r="X49" s="1">
        <f>RANK(Tabell15[[#This Row],[MAT]],R:R)</f>
        <v>29</v>
      </c>
      <c r="Y49" s="1">
        <f>RANK(Tabell15[[#This Row],[MÅL]],V:V)</f>
        <v>33</v>
      </c>
      <c r="Z49" s="1">
        <f>RANK(Tabell15[[#This Row],[VAR]],T:T)</f>
        <v>32</v>
      </c>
      <c r="AA49" s="1">
        <f>VLOOKUP(Tabell15[[#This Row],[Namn]],Tabell4[[Namn]:[SENASTE]],6,0)</f>
        <v>2022</v>
      </c>
    </row>
    <row r="50" spans="1:27" x14ac:dyDescent="0.2">
      <c r="A50">
        <v>2023</v>
      </c>
      <c r="B50" t="s">
        <v>26</v>
      </c>
      <c r="C50">
        <v>9</v>
      </c>
      <c r="D50">
        <v>0.40909090909090912</v>
      </c>
      <c r="E50">
        <v>0</v>
      </c>
      <c r="F50">
        <v>0</v>
      </c>
      <c r="G50">
        <v>0</v>
      </c>
      <c r="H50">
        <v>22</v>
      </c>
      <c r="I50">
        <v>0</v>
      </c>
      <c r="J50">
        <v>2023</v>
      </c>
      <c r="K50">
        <v>2007</v>
      </c>
      <c r="L50">
        <v>16</v>
      </c>
      <c r="M50">
        <v>2</v>
      </c>
      <c r="O50" s="10">
        <f>Tabell15[[#This Row],[RANK MÅL]]</f>
        <v>33</v>
      </c>
      <c r="P50" s="10">
        <f>Tabell15[[#This Row],[RANK MAT]]</f>
        <v>43</v>
      </c>
      <c r="Q50" t="s">
        <v>111</v>
      </c>
      <c r="R50" s="1">
        <f>SUMIF(B:B,Tabell15[[#This Row],[Namn]],C:C)</f>
        <v>17</v>
      </c>
      <c r="S50" s="5">
        <f>Tabell15[[#This Row],[MAT]]/Tabell15[[#This Row],[LAG MATCH]]</f>
        <v>0.94444444444444442</v>
      </c>
      <c r="T50" s="1">
        <f>SUMIF(B:B,Tabell15[[#This Row],[Namn]],E:E)</f>
        <v>0</v>
      </c>
      <c r="U50" s="1">
        <f>SUMIF(B:B,Tabell15[[#This Row],[Namn]],F:F)</f>
        <v>0</v>
      </c>
      <c r="V50" s="1">
        <f>SUMIF(B:B,Tabell15[[#This Row],[Namn]],G:G)</f>
        <v>1</v>
      </c>
      <c r="W50" s="1">
        <f>SUMIF(B:B,Tabell15[[#This Row],[Namn]],H:H)</f>
        <v>18</v>
      </c>
      <c r="X50" s="1">
        <f>RANK(Tabell15[[#This Row],[MAT]],R:R)</f>
        <v>43</v>
      </c>
      <c r="Y50" s="1">
        <f>RANK(Tabell15[[#This Row],[MÅL]],V:V)</f>
        <v>33</v>
      </c>
      <c r="Z50" s="1">
        <f>RANK(Tabell15[[#This Row],[VAR]],T:T)</f>
        <v>32</v>
      </c>
      <c r="AA50" s="1">
        <f>VLOOKUP(Tabell15[[#This Row],[Namn]],Tabell4[[Namn]:[SENASTE]],6,0)</f>
        <v>2018</v>
      </c>
    </row>
    <row r="51" spans="1:27" x14ac:dyDescent="0.2">
      <c r="A51">
        <v>2023</v>
      </c>
      <c r="B51" t="s">
        <v>29</v>
      </c>
      <c r="C51">
        <v>8</v>
      </c>
      <c r="D51">
        <v>0.36363636363636365</v>
      </c>
      <c r="E51">
        <v>0</v>
      </c>
      <c r="F51">
        <v>0</v>
      </c>
      <c r="G51">
        <v>2</v>
      </c>
      <c r="H51">
        <v>22</v>
      </c>
      <c r="I51">
        <v>0.25</v>
      </c>
      <c r="J51">
        <v>2023</v>
      </c>
      <c r="K51">
        <v>2007</v>
      </c>
      <c r="L51">
        <v>16</v>
      </c>
      <c r="M51">
        <v>2</v>
      </c>
      <c r="O51" s="1">
        <f>Tabell15[[#This Row],[RANK MÅL]]</f>
        <v>45</v>
      </c>
      <c r="P51" s="1">
        <f>Tabell15[[#This Row],[RANK MAT]]</f>
        <v>20</v>
      </c>
      <c r="Q51" t="s">
        <v>58</v>
      </c>
      <c r="R51" s="1">
        <f>SUMIF(B:B,Tabell15[[#This Row],[Namn]],C:C)</f>
        <v>35</v>
      </c>
      <c r="S51" s="5">
        <f>Tabell15[[#This Row],[MAT]]/Tabell15[[#This Row],[LAG MATCH]]</f>
        <v>0.7</v>
      </c>
      <c r="T51" s="1">
        <f>SUMIF(B:B,Tabell15[[#This Row],[Namn]],E:E)</f>
        <v>0</v>
      </c>
      <c r="U51" s="1">
        <f>SUMIF(B:B,Tabell15[[#This Row],[Namn]],F:F)</f>
        <v>0</v>
      </c>
      <c r="V51" s="1">
        <f>SUMIF(B:B,Tabell15[[#This Row],[Namn]],G:G)</f>
        <v>0</v>
      </c>
      <c r="W51" s="1">
        <f>SUMIF(B:B,Tabell15[[#This Row],[Namn]],H:H)</f>
        <v>50</v>
      </c>
      <c r="X51" s="1">
        <f>RANK(Tabell15[[#This Row],[MAT]],R:R)</f>
        <v>20</v>
      </c>
      <c r="Y51" s="1">
        <f>RANK(Tabell15[[#This Row],[MÅL]],V:V)</f>
        <v>45</v>
      </c>
      <c r="Z51" s="1">
        <f>RANK(Tabell15[[#This Row],[VAR]],T:T)</f>
        <v>32</v>
      </c>
      <c r="AA51" s="1">
        <f>VLOOKUP(Tabell15[[#This Row],[Namn]],Tabell4[[Namn]:[SENASTE]],6,0)</f>
        <v>2024</v>
      </c>
    </row>
    <row r="52" spans="1:27" x14ac:dyDescent="0.2">
      <c r="A52">
        <v>2023</v>
      </c>
      <c r="B52" t="s">
        <v>50</v>
      </c>
      <c r="C52">
        <v>8</v>
      </c>
      <c r="D52">
        <v>0.36363636363636365</v>
      </c>
      <c r="E52">
        <v>0</v>
      </c>
      <c r="F52">
        <v>0</v>
      </c>
      <c r="G52">
        <v>0</v>
      </c>
      <c r="H52">
        <v>22</v>
      </c>
      <c r="I52">
        <v>0</v>
      </c>
      <c r="J52">
        <v>2023</v>
      </c>
      <c r="K52">
        <v>1993</v>
      </c>
      <c r="L52">
        <v>30</v>
      </c>
      <c r="M52">
        <v>2</v>
      </c>
      <c r="O52" s="10">
        <f>Tabell15[[#This Row],[RANK MÅL]]</f>
        <v>45</v>
      </c>
      <c r="P52" s="10">
        <f>Tabell15[[#This Row],[RANK MAT]]</f>
        <v>33</v>
      </c>
      <c r="Q52" t="s">
        <v>62</v>
      </c>
      <c r="R52" s="1">
        <f>SUMIF(B:B,Tabell15[[#This Row],[Namn]],C:C)</f>
        <v>23</v>
      </c>
      <c r="S52" s="5">
        <f>Tabell15[[#This Row],[MAT]]/Tabell15[[#This Row],[LAG MATCH]]</f>
        <v>0.46</v>
      </c>
      <c r="T52" s="1">
        <f>SUMIF(B:B,Tabell15[[#This Row],[Namn]],E:E)</f>
        <v>0</v>
      </c>
      <c r="U52" s="1">
        <f>SUMIF(B:B,Tabell15[[#This Row],[Namn]],F:F)</f>
        <v>0</v>
      </c>
      <c r="V52" s="1">
        <f>SUMIF(B:B,Tabell15[[#This Row],[Namn]],G:G)</f>
        <v>0</v>
      </c>
      <c r="W52" s="1">
        <f>SUMIF(B:B,Tabell15[[#This Row],[Namn]],H:H)</f>
        <v>50</v>
      </c>
      <c r="X52" s="1">
        <f>RANK(Tabell15[[#This Row],[MAT]],R:R)</f>
        <v>33</v>
      </c>
      <c r="Y52" s="1">
        <f>RANK(Tabell15[[#This Row],[MÅL]],V:V)</f>
        <v>45</v>
      </c>
      <c r="Z52" s="1">
        <f>RANK(Tabell15[[#This Row],[VAR]],T:T)</f>
        <v>32</v>
      </c>
      <c r="AA52" s="1">
        <f>VLOOKUP(Tabell15[[#This Row],[Namn]],Tabell4[[Namn]:[SENASTE]],6,0)</f>
        <v>2024</v>
      </c>
    </row>
    <row r="53" spans="1:27" x14ac:dyDescent="0.2">
      <c r="A53">
        <v>2023</v>
      </c>
      <c r="B53" t="s">
        <v>76</v>
      </c>
      <c r="C53">
        <v>8</v>
      </c>
      <c r="D53">
        <v>0.36363636363636365</v>
      </c>
      <c r="E53">
        <v>1</v>
      </c>
      <c r="F53">
        <v>0</v>
      </c>
      <c r="G53">
        <v>0</v>
      </c>
      <c r="H53">
        <v>22</v>
      </c>
      <c r="I53">
        <v>0</v>
      </c>
      <c r="J53">
        <v>2023</v>
      </c>
      <c r="K53">
        <v>1991</v>
      </c>
      <c r="L53">
        <v>32</v>
      </c>
      <c r="M53">
        <v>2</v>
      </c>
      <c r="O53" s="1">
        <f>Tabell15[[#This Row],[RANK MÅL]]</f>
        <v>45</v>
      </c>
      <c r="P53" s="1">
        <f>Tabell15[[#This Row],[RANK MAT]]</f>
        <v>51</v>
      </c>
      <c r="Q53" t="s">
        <v>26</v>
      </c>
      <c r="R53" s="1">
        <f>SUMIF(B:B,Tabell15[[#This Row],[Namn]],C:C)</f>
        <v>10</v>
      </c>
      <c r="S53" s="5">
        <f>Tabell15[[#This Row],[MAT]]/Tabell15[[#This Row],[LAG MATCH]]</f>
        <v>0.2</v>
      </c>
      <c r="T53" s="1">
        <f>SUMIF(B:B,Tabell15[[#This Row],[Namn]],E:E)</f>
        <v>0</v>
      </c>
      <c r="U53" s="1">
        <f>SUMIF(B:B,Tabell15[[#This Row],[Namn]],F:F)</f>
        <v>0</v>
      </c>
      <c r="V53" s="1">
        <f>SUMIF(B:B,Tabell15[[#This Row],[Namn]],G:G)</f>
        <v>0</v>
      </c>
      <c r="W53" s="1">
        <f>SUMIF(B:B,Tabell15[[#This Row],[Namn]],H:H)</f>
        <v>50</v>
      </c>
      <c r="X53" s="1">
        <f>RANK(Tabell15[[#This Row],[MAT]],R:R)</f>
        <v>51</v>
      </c>
      <c r="Y53" s="1">
        <f>RANK(Tabell15[[#This Row],[MÅL]],V:V)</f>
        <v>45</v>
      </c>
      <c r="Z53" s="1">
        <f>RANK(Tabell15[[#This Row],[VAR]],T:T)</f>
        <v>32</v>
      </c>
      <c r="AA53" s="1">
        <f>VLOOKUP(Tabell15[[#This Row],[Namn]],Tabell4[[Namn]:[SENASTE]],6,0)</f>
        <v>2026</v>
      </c>
    </row>
    <row r="54" spans="1:27" x14ac:dyDescent="0.2">
      <c r="A54">
        <v>2023</v>
      </c>
      <c r="B54" t="s">
        <v>77</v>
      </c>
      <c r="C54">
        <v>7</v>
      </c>
      <c r="D54">
        <v>0.31818181818181818</v>
      </c>
      <c r="E54">
        <v>0</v>
      </c>
      <c r="F54">
        <v>0</v>
      </c>
      <c r="G54">
        <v>0</v>
      </c>
      <c r="H54">
        <v>22</v>
      </c>
      <c r="I54">
        <v>0</v>
      </c>
      <c r="J54">
        <v>2023</v>
      </c>
      <c r="K54">
        <v>1994</v>
      </c>
      <c r="L54">
        <v>29</v>
      </c>
      <c r="M54">
        <v>2</v>
      </c>
      <c r="O54" s="10">
        <f>Tabell15[[#This Row],[RANK MÅL]]</f>
        <v>45</v>
      </c>
      <c r="P54" s="10">
        <f>Tabell15[[#This Row],[RANK MAT]]</f>
        <v>56</v>
      </c>
      <c r="Q54" t="s">
        <v>41</v>
      </c>
      <c r="R54" s="1">
        <f>SUMIF(B:B,Tabell15[[#This Row],[Namn]],C:C)</f>
        <v>7</v>
      </c>
      <c r="S54" s="5">
        <f>Tabell15[[#This Row],[MAT]]/Tabell15[[#This Row],[LAG MATCH]]</f>
        <v>0.10294117647058823</v>
      </c>
      <c r="T54" s="1">
        <f>SUMIF(B:B,Tabell15[[#This Row],[Namn]],E:E)</f>
        <v>0</v>
      </c>
      <c r="U54" s="1">
        <f>SUMIF(B:B,Tabell15[[#This Row],[Namn]],F:F)</f>
        <v>0</v>
      </c>
      <c r="V54" s="1">
        <f>SUMIF(B:B,Tabell15[[#This Row],[Namn]],G:G)</f>
        <v>0</v>
      </c>
      <c r="W54" s="1">
        <f>SUMIF(B:B,Tabell15[[#This Row],[Namn]],H:H)</f>
        <v>68</v>
      </c>
      <c r="X54" s="1">
        <f>RANK(Tabell15[[#This Row],[MAT]],R:R)</f>
        <v>56</v>
      </c>
      <c r="Y54" s="1">
        <f>RANK(Tabell15[[#This Row],[MÅL]],V:V)</f>
        <v>45</v>
      </c>
      <c r="Z54" s="1">
        <f>RANK(Tabell15[[#This Row],[VAR]],T:T)</f>
        <v>32</v>
      </c>
      <c r="AA54" s="1">
        <f>VLOOKUP(Tabell15[[#This Row],[Namn]],Tabell4[[Namn]:[SENASTE]],6,0)</f>
        <v>2026</v>
      </c>
    </row>
    <row r="55" spans="1:27" x14ac:dyDescent="0.2">
      <c r="A55">
        <v>2023</v>
      </c>
      <c r="B55" t="s">
        <v>64</v>
      </c>
      <c r="C55">
        <v>6</v>
      </c>
      <c r="D55">
        <v>0.27272727272727271</v>
      </c>
      <c r="E55">
        <v>0</v>
      </c>
      <c r="F55">
        <v>0</v>
      </c>
      <c r="G55">
        <v>1</v>
      </c>
      <c r="H55">
        <v>22</v>
      </c>
      <c r="I55">
        <v>0.16666666666666666</v>
      </c>
      <c r="J55">
        <v>2023</v>
      </c>
      <c r="K55">
        <v>2001</v>
      </c>
      <c r="L55">
        <v>22</v>
      </c>
      <c r="M55">
        <v>2</v>
      </c>
      <c r="O55" s="1">
        <f>Tabell15[[#This Row],[RANK MÅL]]</f>
        <v>45</v>
      </c>
      <c r="P55" s="1">
        <f>Tabell15[[#This Row],[RANK MAT]]</f>
        <v>58</v>
      </c>
      <c r="Q55" t="s">
        <v>53</v>
      </c>
      <c r="R55" s="1">
        <f>SUMIF(B:B,Tabell15[[#This Row],[Namn]],C:C)</f>
        <v>6</v>
      </c>
      <c r="S55" s="5">
        <f>Tabell15[[#This Row],[MAT]]/Tabell15[[#This Row],[LAG MATCH]]</f>
        <v>0.21428571428571427</v>
      </c>
      <c r="T55" s="1">
        <f>SUMIF(B:B,Tabell15[[#This Row],[Namn]],E:E)</f>
        <v>0</v>
      </c>
      <c r="U55" s="1">
        <f>SUMIF(B:B,Tabell15[[#This Row],[Namn]],F:F)</f>
        <v>0</v>
      </c>
      <c r="V55" s="1">
        <f>SUMIF(B:B,Tabell15[[#This Row],[Namn]],G:G)</f>
        <v>0</v>
      </c>
      <c r="W55" s="1">
        <f>SUMIF(B:B,Tabell15[[#This Row],[Namn]],H:H)</f>
        <v>28</v>
      </c>
      <c r="X55" s="1">
        <f>RANK(Tabell15[[#This Row],[MAT]],R:R)</f>
        <v>58</v>
      </c>
      <c r="Y55" s="1">
        <f>RANK(Tabell15[[#This Row],[MÅL]],V:V)</f>
        <v>45</v>
      </c>
      <c r="Z55" s="1">
        <f>RANK(Tabell15[[#This Row],[VAR]],T:T)</f>
        <v>32</v>
      </c>
      <c r="AA55" s="1">
        <f>VLOOKUP(Tabell15[[#This Row],[Namn]],Tabell4[[Namn]:[SENASTE]],6,0)</f>
        <v>2025</v>
      </c>
    </row>
    <row r="56" spans="1:27" x14ac:dyDescent="0.2">
      <c r="A56">
        <v>2023</v>
      </c>
      <c r="B56" t="s">
        <v>28</v>
      </c>
      <c r="C56">
        <v>6</v>
      </c>
      <c r="D56">
        <v>0.27272727272727271</v>
      </c>
      <c r="E56">
        <v>0</v>
      </c>
      <c r="F56">
        <v>0</v>
      </c>
      <c r="G56">
        <v>0</v>
      </c>
      <c r="H56">
        <v>22</v>
      </c>
      <c r="I56">
        <v>0</v>
      </c>
      <c r="J56">
        <v>2023</v>
      </c>
      <c r="K56">
        <v>2007</v>
      </c>
      <c r="L56">
        <v>16</v>
      </c>
      <c r="M56">
        <v>2</v>
      </c>
      <c r="O56" s="10">
        <f>Tabell15[[#This Row],[RANK MÅL]]</f>
        <v>45</v>
      </c>
      <c r="P56" s="10">
        <f>Tabell15[[#This Row],[RANK MAT]]</f>
        <v>59</v>
      </c>
      <c r="Q56" t="s">
        <v>65</v>
      </c>
      <c r="R56" s="1">
        <f>SUMIF(B:B,Tabell15[[#This Row],[Namn]],C:C)</f>
        <v>5</v>
      </c>
      <c r="S56" s="5">
        <f>Tabell15[[#This Row],[MAT]]/Tabell15[[#This Row],[LAG MATCH]]</f>
        <v>0.1</v>
      </c>
      <c r="T56" s="1">
        <f>SUMIF(B:B,Tabell15[[#This Row],[Namn]],E:E)</f>
        <v>0</v>
      </c>
      <c r="U56" s="1">
        <f>SUMIF(B:B,Tabell15[[#This Row],[Namn]],F:F)</f>
        <v>0</v>
      </c>
      <c r="V56" s="1">
        <f>SUMIF(B:B,Tabell15[[#This Row],[Namn]],G:G)</f>
        <v>0</v>
      </c>
      <c r="W56" s="1">
        <f>SUMIF(B:B,Tabell15[[#This Row],[Namn]],H:H)</f>
        <v>50</v>
      </c>
      <c r="X56" s="1">
        <f>RANK(Tabell15[[#This Row],[MAT]],R:R)</f>
        <v>59</v>
      </c>
      <c r="Y56" s="1">
        <f>RANK(Tabell15[[#This Row],[MÅL]],V:V)</f>
        <v>45</v>
      </c>
      <c r="Z56" s="1">
        <f>RANK(Tabell15[[#This Row],[VAR]],T:T)</f>
        <v>32</v>
      </c>
      <c r="AA56" s="1">
        <f>VLOOKUP(Tabell15[[#This Row],[Namn]],Tabell4[[Namn]:[SENASTE]],6,0)</f>
        <v>2024</v>
      </c>
    </row>
    <row r="57" spans="1:27" x14ac:dyDescent="0.2">
      <c r="A57">
        <v>2023</v>
      </c>
      <c r="B57" t="s">
        <v>78</v>
      </c>
      <c r="C57">
        <v>4</v>
      </c>
      <c r="D57">
        <v>0.18181818181818182</v>
      </c>
      <c r="E57">
        <v>0</v>
      </c>
      <c r="F57">
        <v>0</v>
      </c>
      <c r="G57">
        <v>1</v>
      </c>
      <c r="H57">
        <v>22</v>
      </c>
      <c r="I57">
        <v>0.25</v>
      </c>
      <c r="J57">
        <v>2023</v>
      </c>
      <c r="K57">
        <v>2006</v>
      </c>
      <c r="L57">
        <v>17</v>
      </c>
      <c r="M57">
        <v>2</v>
      </c>
      <c r="O57" s="1">
        <f>Tabell15[[#This Row],[RANK MÅL]]</f>
        <v>45</v>
      </c>
      <c r="P57" s="1">
        <f>Tabell15[[#This Row],[RANK MAT]]</f>
        <v>60</v>
      </c>
      <c r="Q57" t="s">
        <v>42</v>
      </c>
      <c r="R57" s="1">
        <f>SUMIF(B:B,Tabell15[[#This Row],[Namn]],C:C)</f>
        <v>4</v>
      </c>
      <c r="S57" s="5">
        <f>Tabell15[[#This Row],[MAT]]/Tabell15[[#This Row],[LAG MATCH]]</f>
        <v>0.14285714285714285</v>
      </c>
      <c r="T57" s="1">
        <f>SUMIF(B:B,Tabell15[[#This Row],[Namn]],E:E)</f>
        <v>0</v>
      </c>
      <c r="U57" s="1">
        <f>SUMIF(B:B,Tabell15[[#This Row],[Namn]],F:F)</f>
        <v>0</v>
      </c>
      <c r="V57" s="1">
        <f>SUMIF(B:B,Tabell15[[#This Row],[Namn]],G:G)</f>
        <v>0</v>
      </c>
      <c r="W57" s="1">
        <f>SUMIF(B:B,Tabell15[[#This Row],[Namn]],H:H)</f>
        <v>28</v>
      </c>
      <c r="X57" s="1">
        <f>RANK(Tabell15[[#This Row],[MAT]],R:R)</f>
        <v>60</v>
      </c>
      <c r="Y57" s="1">
        <f>RANK(Tabell15[[#This Row],[MÅL]],V:V)</f>
        <v>45</v>
      </c>
      <c r="Z57" s="1">
        <f>RANK(Tabell15[[#This Row],[VAR]],T:T)</f>
        <v>32</v>
      </c>
      <c r="AA57" s="1">
        <f>VLOOKUP(Tabell15[[#This Row],[Namn]],Tabell4[[Namn]:[SENASTE]],6,0)</f>
        <v>2026</v>
      </c>
    </row>
    <row r="58" spans="1:27" x14ac:dyDescent="0.2">
      <c r="A58">
        <v>2023</v>
      </c>
      <c r="B58" t="s">
        <v>79</v>
      </c>
      <c r="C58">
        <v>4</v>
      </c>
      <c r="D58">
        <v>0.18181818181818182</v>
      </c>
      <c r="E58">
        <v>0</v>
      </c>
      <c r="F58">
        <v>0</v>
      </c>
      <c r="G58">
        <v>0</v>
      </c>
      <c r="H58">
        <v>22</v>
      </c>
      <c r="I58">
        <v>0</v>
      </c>
      <c r="J58">
        <v>2023</v>
      </c>
      <c r="K58">
        <v>2004</v>
      </c>
      <c r="L58">
        <v>19</v>
      </c>
      <c r="M58">
        <v>2</v>
      </c>
      <c r="O58" s="10">
        <f>Tabell15[[#This Row],[RANK MÅL]]</f>
        <v>45</v>
      </c>
      <c r="P58" s="10">
        <f>Tabell15[[#This Row],[RANK MAT]]</f>
        <v>69</v>
      </c>
      <c r="Q58" t="s">
        <v>24</v>
      </c>
      <c r="R58" s="1">
        <f>SUMIF(B:B,Tabell15[[#This Row],[Namn]],C:C)</f>
        <v>2</v>
      </c>
      <c r="S58" s="5">
        <f>Tabell15[[#This Row],[MAT]]/Tabell15[[#This Row],[LAG MATCH]]</f>
        <v>7.1428571428571425E-2</v>
      </c>
      <c r="T58" s="1">
        <f>SUMIF(B:B,Tabell15[[#This Row],[Namn]],E:E)</f>
        <v>0</v>
      </c>
      <c r="U58" s="1">
        <f>SUMIF(B:B,Tabell15[[#This Row],[Namn]],F:F)</f>
        <v>0</v>
      </c>
      <c r="V58" s="1">
        <f>SUMIF(B:B,Tabell15[[#This Row],[Namn]],G:G)</f>
        <v>0</v>
      </c>
      <c r="W58" s="1">
        <f>SUMIF(B:B,Tabell15[[#This Row],[Namn]],H:H)</f>
        <v>28</v>
      </c>
      <c r="X58" s="1">
        <f>RANK(Tabell15[[#This Row],[MAT]],R:R)</f>
        <v>69</v>
      </c>
      <c r="Y58" s="1">
        <f>RANK(Tabell15[[#This Row],[MÅL]],V:V)</f>
        <v>45</v>
      </c>
      <c r="Z58" s="1">
        <f>RANK(Tabell15[[#This Row],[VAR]],T:T)</f>
        <v>32</v>
      </c>
      <c r="AA58" s="1">
        <f>VLOOKUP(Tabell15[[#This Row],[Namn]],Tabell4[[Namn]:[SENASTE]],6,0)</f>
        <v>2026</v>
      </c>
    </row>
    <row r="59" spans="1:27" x14ac:dyDescent="0.2">
      <c r="A59">
        <v>2023</v>
      </c>
      <c r="B59" t="s">
        <v>80</v>
      </c>
      <c r="C59">
        <v>4</v>
      </c>
      <c r="D59">
        <v>0.18181818181818182</v>
      </c>
      <c r="E59">
        <v>0</v>
      </c>
      <c r="F59">
        <v>0</v>
      </c>
      <c r="G59">
        <v>0</v>
      </c>
      <c r="H59">
        <v>22</v>
      </c>
      <c r="I59">
        <v>0</v>
      </c>
      <c r="J59">
        <v>2023</v>
      </c>
      <c r="K59">
        <v>2004</v>
      </c>
      <c r="L59">
        <v>19</v>
      </c>
      <c r="M59">
        <v>2</v>
      </c>
      <c r="O59" s="1">
        <f>Tabell15[[#This Row],[RANK MÅL]]</f>
        <v>45</v>
      </c>
      <c r="P59" s="1">
        <f>Tabell15[[#This Row],[RANK MAT]]</f>
        <v>69</v>
      </c>
      <c r="Q59" t="s">
        <v>37</v>
      </c>
      <c r="R59" s="1">
        <f>SUMIF(B:B,Tabell15[[#This Row],[Namn]],C:C)</f>
        <v>2</v>
      </c>
      <c r="S59" s="5">
        <f>Tabell15[[#This Row],[MAT]]/Tabell15[[#This Row],[LAG MATCH]]</f>
        <v>7.1428571428571425E-2</v>
      </c>
      <c r="T59" s="1">
        <f>SUMIF(B:B,Tabell15[[#This Row],[Namn]],E:E)</f>
        <v>0</v>
      </c>
      <c r="U59" s="1">
        <f>SUMIF(B:B,Tabell15[[#This Row],[Namn]],F:F)</f>
        <v>0</v>
      </c>
      <c r="V59" s="1">
        <f>SUMIF(B:B,Tabell15[[#This Row],[Namn]],G:G)</f>
        <v>0</v>
      </c>
      <c r="W59" s="1">
        <f>SUMIF(B:B,Tabell15[[#This Row],[Namn]],H:H)</f>
        <v>28</v>
      </c>
      <c r="X59" s="1">
        <f>RANK(Tabell15[[#This Row],[MAT]],R:R)</f>
        <v>69</v>
      </c>
      <c r="Y59" s="1">
        <f>RANK(Tabell15[[#This Row],[MÅL]],V:V)</f>
        <v>45</v>
      </c>
      <c r="Z59" s="1">
        <f>RANK(Tabell15[[#This Row],[VAR]],T:T)</f>
        <v>32</v>
      </c>
      <c r="AA59" s="1">
        <f>VLOOKUP(Tabell15[[#This Row],[Namn]],Tabell4[[Namn]:[SENASTE]],6,0)</f>
        <v>2026</v>
      </c>
    </row>
    <row r="60" spans="1:27" x14ac:dyDescent="0.2">
      <c r="A60">
        <v>2023</v>
      </c>
      <c r="B60" t="s">
        <v>65</v>
      </c>
      <c r="C60">
        <v>1</v>
      </c>
      <c r="D60">
        <v>4.5454545454545456E-2</v>
      </c>
      <c r="E60">
        <v>0</v>
      </c>
      <c r="F60">
        <v>0</v>
      </c>
      <c r="G60">
        <v>0</v>
      </c>
      <c r="H60">
        <v>22</v>
      </c>
      <c r="I60">
        <v>0</v>
      </c>
      <c r="J60">
        <v>2023</v>
      </c>
      <c r="K60">
        <v>2008</v>
      </c>
      <c r="L60">
        <v>15</v>
      </c>
      <c r="M60">
        <v>2</v>
      </c>
      <c r="O60" s="10">
        <f>Tabell15[[#This Row],[RANK MÅL]]</f>
        <v>45</v>
      </c>
      <c r="P60" s="10">
        <f>Tabell15[[#This Row],[RANK MAT]]</f>
        <v>75</v>
      </c>
      <c r="Q60" t="s">
        <v>68</v>
      </c>
      <c r="R60" s="1">
        <f>SUMIF(B:B,Tabell15[[#This Row],[Namn]],C:C)</f>
        <v>1</v>
      </c>
      <c r="S60" s="5">
        <f>Tabell15[[#This Row],[MAT]]/Tabell15[[#This Row],[LAG MATCH]]</f>
        <v>3.5714285714285712E-2</v>
      </c>
      <c r="T60" s="1">
        <f>SUMIF(B:B,Tabell15[[#This Row],[Namn]],E:E)</f>
        <v>0</v>
      </c>
      <c r="U60" s="1">
        <f>SUMIF(B:B,Tabell15[[#This Row],[Namn]],F:F)</f>
        <v>0</v>
      </c>
      <c r="V60" s="1">
        <f>SUMIF(B:B,Tabell15[[#This Row],[Namn]],G:G)</f>
        <v>0</v>
      </c>
      <c r="W60" s="1">
        <f>SUMIF(B:B,Tabell15[[#This Row],[Namn]],H:H)</f>
        <v>28</v>
      </c>
      <c r="X60" s="1">
        <f>RANK(Tabell15[[#This Row],[MAT]],R:R)</f>
        <v>75</v>
      </c>
      <c r="Y60" s="1">
        <f>RANK(Tabell15[[#This Row],[MÅL]],V:V)</f>
        <v>45</v>
      </c>
      <c r="Z60" s="1">
        <f>RANK(Tabell15[[#This Row],[VAR]],T:T)</f>
        <v>32</v>
      </c>
      <c r="AA60" s="1">
        <f>VLOOKUP(Tabell15[[#This Row],[Namn]],Tabell4[[Namn]:[SENASTE]],6,0)</f>
        <v>2024</v>
      </c>
    </row>
    <row r="61" spans="1:27" x14ac:dyDescent="0.2">
      <c r="A61">
        <v>2023</v>
      </c>
      <c r="B61" t="s">
        <v>33</v>
      </c>
      <c r="C61">
        <v>1</v>
      </c>
      <c r="D61">
        <v>4.5454545454545456E-2</v>
      </c>
      <c r="E61">
        <v>0</v>
      </c>
      <c r="F61">
        <v>0</v>
      </c>
      <c r="G61">
        <v>0</v>
      </c>
      <c r="H61">
        <v>22</v>
      </c>
      <c r="I61">
        <v>0</v>
      </c>
      <c r="J61">
        <v>2023</v>
      </c>
      <c r="K61">
        <v>1999</v>
      </c>
      <c r="L61">
        <v>24</v>
      </c>
      <c r="M61">
        <v>2</v>
      </c>
      <c r="O61" s="1">
        <f>Tabell15[[#This Row],[RANK MÅL]]</f>
        <v>45</v>
      </c>
      <c r="P61" s="1">
        <f>Tabell15[[#This Row],[RANK MAT]]</f>
        <v>75</v>
      </c>
      <c r="Q61" t="s">
        <v>45</v>
      </c>
      <c r="R61" s="1">
        <f>SUMIF(B:B,Tabell15[[#This Row],[Namn]],C:C)</f>
        <v>1</v>
      </c>
      <c r="S61" s="5">
        <f>Tabell15[[#This Row],[MAT]]/Tabell15[[#This Row],[LAG MATCH]]</f>
        <v>3.5714285714285712E-2</v>
      </c>
      <c r="T61" s="1">
        <f>SUMIF(B:B,Tabell15[[#This Row],[Namn]],E:E)</f>
        <v>0</v>
      </c>
      <c r="U61" s="1">
        <f>SUMIF(B:B,Tabell15[[#This Row],[Namn]],F:F)</f>
        <v>0</v>
      </c>
      <c r="V61" s="1">
        <f>SUMIF(B:B,Tabell15[[#This Row],[Namn]],G:G)</f>
        <v>0</v>
      </c>
      <c r="W61" s="1">
        <f>SUMIF(B:B,Tabell15[[#This Row],[Namn]],H:H)</f>
        <v>28</v>
      </c>
      <c r="X61" s="1">
        <f>RANK(Tabell15[[#This Row],[MAT]],R:R)</f>
        <v>75</v>
      </c>
      <c r="Y61" s="1">
        <f>RANK(Tabell15[[#This Row],[MÅL]],V:V)</f>
        <v>45</v>
      </c>
      <c r="Z61" s="1">
        <f>RANK(Tabell15[[#This Row],[VAR]],T:T)</f>
        <v>32</v>
      </c>
      <c r="AA61" s="1">
        <f>VLOOKUP(Tabell15[[#This Row],[Namn]],Tabell4[[Namn]:[SENASTE]],6,0)</f>
        <v>2025</v>
      </c>
    </row>
    <row r="62" spans="1:27" x14ac:dyDescent="0.2">
      <c r="A62">
        <v>2022</v>
      </c>
      <c r="B62" t="s">
        <v>56</v>
      </c>
      <c r="C62">
        <v>29</v>
      </c>
      <c r="D62">
        <v>1</v>
      </c>
      <c r="E62">
        <v>1</v>
      </c>
      <c r="F62">
        <v>0</v>
      </c>
      <c r="G62">
        <v>5</v>
      </c>
      <c r="H62">
        <v>29</v>
      </c>
      <c r="I62">
        <v>0.17241379310344829</v>
      </c>
      <c r="J62">
        <v>2022</v>
      </c>
      <c r="K62">
        <v>2002</v>
      </c>
      <c r="L62">
        <v>20</v>
      </c>
      <c r="M62">
        <v>2</v>
      </c>
      <c r="O62" s="10">
        <f>Tabell15[[#This Row],[RANK MÅL]]</f>
        <v>45</v>
      </c>
      <c r="P62" s="10">
        <f>Tabell15[[#This Row],[RANK MAT]]</f>
        <v>7</v>
      </c>
      <c r="Q62" t="s">
        <v>71</v>
      </c>
      <c r="R62" s="1">
        <f>SUMIF(B:B,Tabell15[[#This Row],[Namn]],C:C)</f>
        <v>71</v>
      </c>
      <c r="S62" s="5">
        <f>Tabell15[[#This Row],[MAT]]/Tabell15[[#This Row],[LAG MATCH]]</f>
        <v>0.72448979591836737</v>
      </c>
      <c r="T62" s="1">
        <f>SUMIF(B:B,Tabell15[[#This Row],[Namn]],E:E)</f>
        <v>0</v>
      </c>
      <c r="U62" s="1">
        <f>SUMIF(B:B,Tabell15[[#This Row],[Namn]],F:F)</f>
        <v>0</v>
      </c>
      <c r="V62" s="1">
        <f>SUMIF(B:B,Tabell15[[#This Row],[Namn]],G:G)</f>
        <v>0</v>
      </c>
      <c r="W62" s="1">
        <f>SUMIF(B:B,Tabell15[[#This Row],[Namn]],H:H)</f>
        <v>98</v>
      </c>
      <c r="X62" s="1">
        <f>RANK(Tabell15[[#This Row],[MAT]],R:R)</f>
        <v>7</v>
      </c>
      <c r="Y62" s="1">
        <f>RANK(Tabell15[[#This Row],[MÅL]],V:V)</f>
        <v>45</v>
      </c>
      <c r="Z62" s="1">
        <f>RANK(Tabell15[[#This Row],[VAR]],T:T)</f>
        <v>32</v>
      </c>
      <c r="AA62" s="1">
        <f>VLOOKUP(Tabell15[[#This Row],[Namn]],Tabell4[[Namn]:[SENASTE]],6,0)</f>
        <v>2023</v>
      </c>
    </row>
    <row r="63" spans="1:27" x14ac:dyDescent="0.2">
      <c r="A63">
        <v>2022</v>
      </c>
      <c r="B63" t="s">
        <v>74</v>
      </c>
      <c r="C63">
        <v>29</v>
      </c>
      <c r="D63">
        <v>1</v>
      </c>
      <c r="E63">
        <v>0</v>
      </c>
      <c r="F63">
        <v>0</v>
      </c>
      <c r="G63">
        <v>1</v>
      </c>
      <c r="H63">
        <v>29</v>
      </c>
      <c r="I63">
        <v>3.4482758620689655E-2</v>
      </c>
      <c r="J63">
        <v>2022</v>
      </c>
      <c r="K63">
        <v>1996</v>
      </c>
      <c r="L63">
        <v>26</v>
      </c>
      <c r="M63">
        <v>2</v>
      </c>
      <c r="O63" s="1">
        <f>Tabell15[[#This Row],[RANK MÅL]]</f>
        <v>45</v>
      </c>
      <c r="P63" s="1">
        <f>Tabell15[[#This Row],[RANK MAT]]</f>
        <v>26</v>
      </c>
      <c r="Q63" t="s">
        <v>75</v>
      </c>
      <c r="R63" s="1">
        <f>SUMIF(B:B,Tabell15[[#This Row],[Namn]],C:C)</f>
        <v>30</v>
      </c>
      <c r="S63" s="5">
        <f>Tabell15[[#This Row],[MAT]]/Tabell15[[#This Row],[LAG MATCH]]</f>
        <v>0.69767441860465118</v>
      </c>
      <c r="T63" s="1">
        <f>SUMIF(B:B,Tabell15[[#This Row],[Namn]],E:E)</f>
        <v>0</v>
      </c>
      <c r="U63" s="1">
        <f>SUMIF(B:B,Tabell15[[#This Row],[Namn]],F:F)</f>
        <v>0</v>
      </c>
      <c r="V63" s="1">
        <f>SUMIF(B:B,Tabell15[[#This Row],[Namn]],G:G)</f>
        <v>0</v>
      </c>
      <c r="W63" s="1">
        <f>SUMIF(B:B,Tabell15[[#This Row],[Namn]],H:H)</f>
        <v>43</v>
      </c>
      <c r="X63" s="1">
        <f>RANK(Tabell15[[#This Row],[MAT]],R:R)</f>
        <v>26</v>
      </c>
      <c r="Y63" s="1">
        <f>RANK(Tabell15[[#This Row],[MÅL]],V:V)</f>
        <v>45</v>
      </c>
      <c r="Z63" s="1">
        <f>RANK(Tabell15[[#This Row],[VAR]],T:T)</f>
        <v>32</v>
      </c>
      <c r="AA63" s="1">
        <f>VLOOKUP(Tabell15[[#This Row],[Namn]],Tabell4[[Namn]:[SENASTE]],6,0)</f>
        <v>2023</v>
      </c>
    </row>
    <row r="64" spans="1:27" x14ac:dyDescent="0.2">
      <c r="A64">
        <v>2022</v>
      </c>
      <c r="B64" t="s">
        <v>34</v>
      </c>
      <c r="C64">
        <v>28</v>
      </c>
      <c r="D64">
        <v>0.96551724137931039</v>
      </c>
      <c r="E64">
        <v>0</v>
      </c>
      <c r="F64">
        <v>0</v>
      </c>
      <c r="G64">
        <v>25</v>
      </c>
      <c r="H64">
        <v>29</v>
      </c>
      <c r="I64">
        <v>0.8928571428571429</v>
      </c>
      <c r="J64">
        <v>2022</v>
      </c>
      <c r="K64">
        <v>1991</v>
      </c>
      <c r="L64">
        <v>31</v>
      </c>
      <c r="M64">
        <v>2</v>
      </c>
      <c r="O64" s="10">
        <f>Tabell15[[#This Row],[RANK MÅL]]</f>
        <v>45</v>
      </c>
      <c r="P64" s="10">
        <f>Tabell15[[#This Row],[RANK MAT]]</f>
        <v>56</v>
      </c>
      <c r="Q64" t="s">
        <v>77</v>
      </c>
      <c r="R64" s="1">
        <f>SUMIF(B:B,Tabell15[[#This Row],[Namn]],C:C)</f>
        <v>7</v>
      </c>
      <c r="S64" s="5">
        <f>Tabell15[[#This Row],[MAT]]/Tabell15[[#This Row],[LAG MATCH]]</f>
        <v>0.31818181818181818</v>
      </c>
      <c r="T64" s="1">
        <f>SUMIF(B:B,Tabell15[[#This Row],[Namn]],E:E)</f>
        <v>0</v>
      </c>
      <c r="U64" s="1">
        <f>SUMIF(B:B,Tabell15[[#This Row],[Namn]],F:F)</f>
        <v>0</v>
      </c>
      <c r="V64" s="1">
        <f>SUMIF(B:B,Tabell15[[#This Row],[Namn]],G:G)</f>
        <v>0</v>
      </c>
      <c r="W64" s="1">
        <f>SUMIF(B:B,Tabell15[[#This Row],[Namn]],H:H)</f>
        <v>22</v>
      </c>
      <c r="X64" s="1">
        <f>RANK(Tabell15[[#This Row],[MAT]],R:R)</f>
        <v>56</v>
      </c>
      <c r="Y64" s="1">
        <f>RANK(Tabell15[[#This Row],[MÅL]],V:V)</f>
        <v>45</v>
      </c>
      <c r="Z64" s="1">
        <f>RANK(Tabell15[[#This Row],[VAR]],T:T)</f>
        <v>32</v>
      </c>
      <c r="AA64" s="1">
        <f>VLOOKUP(Tabell15[[#This Row],[Namn]],Tabell4[[Namn]:[SENASTE]],6,0)</f>
        <v>2023</v>
      </c>
    </row>
    <row r="65" spans="1:27" x14ac:dyDescent="0.2">
      <c r="A65">
        <v>2022</v>
      </c>
      <c r="B65" t="s">
        <v>70</v>
      </c>
      <c r="C65">
        <v>28</v>
      </c>
      <c r="D65">
        <v>0.96551724137931039</v>
      </c>
      <c r="E65">
        <v>0</v>
      </c>
      <c r="F65">
        <v>0</v>
      </c>
      <c r="G65">
        <v>22</v>
      </c>
      <c r="H65">
        <v>29</v>
      </c>
      <c r="I65">
        <v>0.7857142857142857</v>
      </c>
      <c r="J65">
        <v>2022</v>
      </c>
      <c r="K65">
        <v>1997</v>
      </c>
      <c r="L65">
        <v>25</v>
      </c>
      <c r="M65">
        <v>2</v>
      </c>
      <c r="O65" s="1">
        <f>Tabell15[[#This Row],[RANK MÅL]]</f>
        <v>45</v>
      </c>
      <c r="P65" s="1">
        <f>Tabell15[[#This Row],[RANK MAT]]</f>
        <v>25</v>
      </c>
      <c r="Q65" t="s">
        <v>84</v>
      </c>
      <c r="R65" s="1">
        <f>SUMIF(B:B,Tabell15[[#This Row],[Namn]],C:C)</f>
        <v>31</v>
      </c>
      <c r="S65" s="5">
        <f>Tabell15[[#This Row],[MAT]]/Tabell15[[#This Row],[LAG MATCH]]</f>
        <v>0.77500000000000002</v>
      </c>
      <c r="T65" s="1">
        <f>SUMIF(B:B,Tabell15[[#This Row],[Namn]],E:E)</f>
        <v>0</v>
      </c>
      <c r="U65" s="1">
        <f>SUMIF(B:B,Tabell15[[#This Row],[Namn]],F:F)</f>
        <v>0</v>
      </c>
      <c r="V65" s="1">
        <f>SUMIF(B:B,Tabell15[[#This Row],[Namn]],G:G)</f>
        <v>0</v>
      </c>
      <c r="W65" s="1">
        <f>SUMIF(B:B,Tabell15[[#This Row],[Namn]],H:H)</f>
        <v>40</v>
      </c>
      <c r="X65" s="1">
        <f>RANK(Tabell15[[#This Row],[MAT]],R:R)</f>
        <v>25</v>
      </c>
      <c r="Y65" s="1">
        <f>RANK(Tabell15[[#This Row],[MÅL]],V:V)</f>
        <v>45</v>
      </c>
      <c r="Z65" s="1">
        <f>RANK(Tabell15[[#This Row],[VAR]],T:T)</f>
        <v>32</v>
      </c>
      <c r="AA65" s="1">
        <f>VLOOKUP(Tabell15[[#This Row],[Namn]],Tabell4[[Namn]:[SENASTE]],6,0)</f>
        <v>2022</v>
      </c>
    </row>
    <row r="66" spans="1:27" x14ac:dyDescent="0.2">
      <c r="A66">
        <v>2022</v>
      </c>
      <c r="B66" t="s">
        <v>71</v>
      </c>
      <c r="C66">
        <v>28</v>
      </c>
      <c r="D66">
        <v>0.96551724137931039</v>
      </c>
      <c r="E66">
        <v>0</v>
      </c>
      <c r="F66">
        <v>0</v>
      </c>
      <c r="G66">
        <v>0</v>
      </c>
      <c r="H66">
        <v>29</v>
      </c>
      <c r="I66">
        <v>0</v>
      </c>
      <c r="J66">
        <v>2022</v>
      </c>
      <c r="K66">
        <v>2004</v>
      </c>
      <c r="L66">
        <v>18</v>
      </c>
      <c r="M66">
        <v>2</v>
      </c>
      <c r="O66" s="10">
        <f>Tabell15[[#This Row],[RANK MÅL]]</f>
        <v>45</v>
      </c>
      <c r="P66" s="10">
        <f>Tabell15[[#This Row],[RANK MAT]]</f>
        <v>60</v>
      </c>
      <c r="Q66" t="s">
        <v>87</v>
      </c>
      <c r="R66" s="1">
        <f>SUMIF(B:B,Tabell15[[#This Row],[Namn]],C:C)</f>
        <v>4</v>
      </c>
      <c r="S66" s="5">
        <f>Tabell15[[#This Row],[MAT]]/Tabell15[[#This Row],[LAG MATCH]]</f>
        <v>0.10256410256410256</v>
      </c>
      <c r="T66" s="1">
        <f>SUMIF(B:B,Tabell15[[#This Row],[Namn]],E:E)</f>
        <v>0</v>
      </c>
      <c r="U66" s="1">
        <f>SUMIF(B:B,Tabell15[[#This Row],[Namn]],F:F)</f>
        <v>0</v>
      </c>
      <c r="V66" s="1">
        <f>SUMIF(B:B,Tabell15[[#This Row],[Namn]],G:G)</f>
        <v>0</v>
      </c>
      <c r="W66" s="1">
        <f>SUMIF(B:B,Tabell15[[#This Row],[Namn]],H:H)</f>
        <v>39</v>
      </c>
      <c r="X66" s="1">
        <f>RANK(Tabell15[[#This Row],[MAT]],R:R)</f>
        <v>60</v>
      </c>
      <c r="Y66" s="1">
        <f>RANK(Tabell15[[#This Row],[MÅL]],V:V)</f>
        <v>45</v>
      </c>
      <c r="Z66" s="1">
        <f>RANK(Tabell15[[#This Row],[VAR]],T:T)</f>
        <v>32</v>
      </c>
      <c r="AA66" s="1">
        <f>VLOOKUP(Tabell15[[#This Row],[Namn]],Tabell4[[Namn]:[SENASTE]],6,0)</f>
        <v>2022</v>
      </c>
    </row>
    <row r="67" spans="1:27" x14ac:dyDescent="0.2">
      <c r="A67">
        <v>2022</v>
      </c>
      <c r="B67" t="s">
        <v>59</v>
      </c>
      <c r="C67">
        <v>28</v>
      </c>
      <c r="D67">
        <v>0.96551724137931039</v>
      </c>
      <c r="E67">
        <v>0</v>
      </c>
      <c r="F67">
        <v>0</v>
      </c>
      <c r="G67">
        <v>0</v>
      </c>
      <c r="H67">
        <v>29</v>
      </c>
      <c r="I67">
        <v>0</v>
      </c>
      <c r="J67">
        <v>2022</v>
      </c>
      <c r="K67">
        <v>1989</v>
      </c>
      <c r="L67">
        <v>33</v>
      </c>
      <c r="M67">
        <v>2</v>
      </c>
      <c r="O67" s="1">
        <f>Tabell15[[#This Row],[RANK MÅL]]</f>
        <v>45</v>
      </c>
      <c r="P67" s="1">
        <f>Tabell15[[#This Row],[RANK MAT]]</f>
        <v>65</v>
      </c>
      <c r="Q67" t="s">
        <v>90</v>
      </c>
      <c r="R67" s="1">
        <f>SUMIF(B:B,Tabell15[[#This Row],[Namn]],C:C)</f>
        <v>3</v>
      </c>
      <c r="S67" s="5">
        <f>Tabell15[[#This Row],[MAT]]/Tabell15[[#This Row],[LAG MATCH]]</f>
        <v>7.4999999999999997E-2</v>
      </c>
      <c r="T67" s="1">
        <f>SUMIF(B:B,Tabell15[[#This Row],[Namn]],E:E)</f>
        <v>0</v>
      </c>
      <c r="U67" s="1">
        <f>SUMIF(B:B,Tabell15[[#This Row],[Namn]],F:F)</f>
        <v>0</v>
      </c>
      <c r="V67" s="1">
        <f>SUMIF(B:B,Tabell15[[#This Row],[Namn]],G:G)</f>
        <v>0</v>
      </c>
      <c r="W67" s="1">
        <f>SUMIF(B:B,Tabell15[[#This Row],[Namn]],H:H)</f>
        <v>40</v>
      </c>
      <c r="X67" s="1">
        <f>RANK(Tabell15[[#This Row],[MAT]],R:R)</f>
        <v>65</v>
      </c>
      <c r="Y67" s="1">
        <f>RANK(Tabell15[[#This Row],[MÅL]],V:V)</f>
        <v>45</v>
      </c>
      <c r="Z67" s="1">
        <f>RANK(Tabell15[[#This Row],[VAR]],T:T)</f>
        <v>32</v>
      </c>
      <c r="AA67" s="1">
        <f>VLOOKUP(Tabell15[[#This Row],[Namn]],Tabell4[[Namn]:[SENASTE]],6,0)</f>
        <v>2022</v>
      </c>
    </row>
    <row r="68" spans="1:27" x14ac:dyDescent="0.2">
      <c r="A68">
        <v>2022</v>
      </c>
      <c r="B68" t="s">
        <v>80</v>
      </c>
      <c r="C68">
        <v>27</v>
      </c>
      <c r="D68">
        <v>0.93103448275862066</v>
      </c>
      <c r="E68">
        <v>0</v>
      </c>
      <c r="F68">
        <v>0</v>
      </c>
      <c r="G68">
        <v>2</v>
      </c>
      <c r="H68">
        <v>29</v>
      </c>
      <c r="I68">
        <v>7.407407407407407E-2</v>
      </c>
      <c r="J68">
        <v>2022</v>
      </c>
      <c r="K68">
        <v>2004</v>
      </c>
      <c r="L68">
        <v>18</v>
      </c>
      <c r="M68">
        <v>2</v>
      </c>
      <c r="O68" s="10">
        <f>Tabell15[[#This Row],[RANK MÅL]]</f>
        <v>45</v>
      </c>
      <c r="P68" s="10">
        <f>Tabell15[[#This Row],[RANK MAT]]</f>
        <v>69</v>
      </c>
      <c r="Q68" t="s">
        <v>88</v>
      </c>
      <c r="R68" s="1">
        <f>SUMIF(B:B,Tabell15[[#This Row],[Namn]],C:C)</f>
        <v>2</v>
      </c>
      <c r="S68" s="5">
        <f>Tabell15[[#This Row],[MAT]]/Tabell15[[#This Row],[LAG MATCH]]</f>
        <v>6.8965517241379309E-2</v>
      </c>
      <c r="T68" s="1">
        <f>SUMIF(B:B,Tabell15[[#This Row],[Namn]],E:E)</f>
        <v>0</v>
      </c>
      <c r="U68" s="1">
        <f>SUMIF(B:B,Tabell15[[#This Row],[Namn]],F:F)</f>
        <v>0</v>
      </c>
      <c r="V68" s="1">
        <f>SUMIF(B:B,Tabell15[[#This Row],[Namn]],G:G)</f>
        <v>0</v>
      </c>
      <c r="W68" s="1">
        <f>SUMIF(B:B,Tabell15[[#This Row],[Namn]],H:H)</f>
        <v>29</v>
      </c>
      <c r="X68" s="1">
        <f>RANK(Tabell15[[#This Row],[MAT]],R:R)</f>
        <v>69</v>
      </c>
      <c r="Y68" s="1">
        <f>RANK(Tabell15[[#This Row],[MÅL]],V:V)</f>
        <v>45</v>
      </c>
      <c r="Z68" s="1">
        <f>RANK(Tabell15[[#This Row],[VAR]],T:T)</f>
        <v>32</v>
      </c>
      <c r="AA68" s="1">
        <f>VLOOKUP(Tabell15[[#This Row],[Namn]],Tabell4[[Namn]:[SENASTE]],6,0)</f>
        <v>2022</v>
      </c>
    </row>
    <row r="69" spans="1:27" x14ac:dyDescent="0.2">
      <c r="A69">
        <v>2022</v>
      </c>
      <c r="B69" t="s">
        <v>81</v>
      </c>
      <c r="C69">
        <v>27</v>
      </c>
      <c r="D69">
        <v>0.93103448275862066</v>
      </c>
      <c r="E69">
        <v>2</v>
      </c>
      <c r="F69">
        <v>0</v>
      </c>
      <c r="G69">
        <v>1</v>
      </c>
      <c r="H69">
        <v>29</v>
      </c>
      <c r="I69">
        <v>3.7037037037037035E-2</v>
      </c>
      <c r="J69">
        <v>2022</v>
      </c>
      <c r="K69">
        <v>2004</v>
      </c>
      <c r="L69">
        <v>18</v>
      </c>
      <c r="M69">
        <v>2</v>
      </c>
      <c r="O69" s="1">
        <f>Tabell15[[#This Row],[RANK MÅL]]</f>
        <v>45</v>
      </c>
      <c r="P69" s="1">
        <f>Tabell15[[#This Row],[RANK MAT]]</f>
        <v>75</v>
      </c>
      <c r="Q69" t="s">
        <v>91</v>
      </c>
      <c r="R69" s="1">
        <f>SUMIF(B:B,Tabell15[[#This Row],[Namn]],C:C)</f>
        <v>1</v>
      </c>
      <c r="S69" s="5">
        <f>Tabell15[[#This Row],[MAT]]/Tabell15[[#This Row],[LAG MATCH]]</f>
        <v>3.4482758620689655E-2</v>
      </c>
      <c r="T69" s="1">
        <f>SUMIF(B:B,Tabell15[[#This Row],[Namn]],E:E)</f>
        <v>0</v>
      </c>
      <c r="U69" s="1">
        <f>SUMIF(B:B,Tabell15[[#This Row],[Namn]],F:F)</f>
        <v>0</v>
      </c>
      <c r="V69" s="1">
        <f>SUMIF(B:B,Tabell15[[#This Row],[Namn]],G:G)</f>
        <v>0</v>
      </c>
      <c r="W69" s="1">
        <f>SUMIF(B:B,Tabell15[[#This Row],[Namn]],H:H)</f>
        <v>29</v>
      </c>
      <c r="X69" s="1">
        <f>RANK(Tabell15[[#This Row],[MAT]],R:R)</f>
        <v>75</v>
      </c>
      <c r="Y69" s="1">
        <f>RANK(Tabell15[[#This Row],[MÅL]],V:V)</f>
        <v>45</v>
      </c>
      <c r="Z69" s="1">
        <f>RANK(Tabell15[[#This Row],[VAR]],T:T)</f>
        <v>32</v>
      </c>
      <c r="AA69" s="1">
        <f>VLOOKUP(Tabell15[[#This Row],[Namn]],Tabell4[[Namn]:[SENASTE]],6,0)</f>
        <v>2022</v>
      </c>
    </row>
    <row r="70" spans="1:27" x14ac:dyDescent="0.2">
      <c r="A70">
        <v>2022</v>
      </c>
      <c r="B70" t="s">
        <v>82</v>
      </c>
      <c r="C70">
        <v>26</v>
      </c>
      <c r="D70">
        <v>0.89655172413793105</v>
      </c>
      <c r="E70">
        <v>1</v>
      </c>
      <c r="F70">
        <v>0</v>
      </c>
      <c r="G70">
        <v>4</v>
      </c>
      <c r="H70">
        <v>29</v>
      </c>
      <c r="I70">
        <v>0.15384615384615385</v>
      </c>
      <c r="J70">
        <v>2022</v>
      </c>
      <c r="K70">
        <v>1995</v>
      </c>
      <c r="L70">
        <v>27</v>
      </c>
      <c r="M70">
        <v>2</v>
      </c>
      <c r="O70" s="10">
        <f>Tabell15[[#This Row],[RANK MÅL]]</f>
        <v>45</v>
      </c>
      <c r="P70" s="10">
        <f>Tabell15[[#This Row],[RANK MAT]]</f>
        <v>75</v>
      </c>
      <c r="Q70" t="s">
        <v>92</v>
      </c>
      <c r="R70" s="1">
        <f>SUMIF(B:B,Tabell15[[#This Row],[Namn]],C:C)</f>
        <v>1</v>
      </c>
      <c r="S70" s="5">
        <f>Tabell15[[#This Row],[MAT]]/Tabell15[[#This Row],[LAG MATCH]]</f>
        <v>3.4482758620689655E-2</v>
      </c>
      <c r="T70" s="1">
        <f>SUMIF(B:B,Tabell15[[#This Row],[Namn]],E:E)</f>
        <v>0</v>
      </c>
      <c r="U70" s="1">
        <f>SUMIF(B:B,Tabell15[[#This Row],[Namn]],F:F)</f>
        <v>0</v>
      </c>
      <c r="V70" s="1">
        <f>SUMIF(B:B,Tabell15[[#This Row],[Namn]],G:G)</f>
        <v>0</v>
      </c>
      <c r="W70" s="1">
        <f>SUMIF(B:B,Tabell15[[#This Row],[Namn]],H:H)</f>
        <v>29</v>
      </c>
      <c r="X70" s="1">
        <f>RANK(Tabell15[[#This Row],[MAT]],R:R)</f>
        <v>75</v>
      </c>
      <c r="Y70" s="1">
        <f>RANK(Tabell15[[#This Row],[MÅL]],V:V)</f>
        <v>45</v>
      </c>
      <c r="Z70" s="1">
        <f>RANK(Tabell15[[#This Row],[VAR]],T:T)</f>
        <v>32</v>
      </c>
      <c r="AA70" s="1">
        <f>VLOOKUP(Tabell15[[#This Row],[Namn]],Tabell4[[Namn]:[SENASTE]],6,0)</f>
        <v>2022</v>
      </c>
    </row>
    <row r="71" spans="1:27" x14ac:dyDescent="0.2">
      <c r="A71">
        <v>2022</v>
      </c>
      <c r="B71" t="s">
        <v>83</v>
      </c>
      <c r="C71">
        <v>25</v>
      </c>
      <c r="D71">
        <v>0.86206896551724133</v>
      </c>
      <c r="E71">
        <v>0</v>
      </c>
      <c r="F71">
        <v>0</v>
      </c>
      <c r="G71">
        <v>34</v>
      </c>
      <c r="H71">
        <v>29</v>
      </c>
      <c r="I71">
        <v>1.36</v>
      </c>
      <c r="J71">
        <v>2022</v>
      </c>
      <c r="K71">
        <v>1985</v>
      </c>
      <c r="L71">
        <v>37</v>
      </c>
      <c r="M71">
        <v>2</v>
      </c>
      <c r="O71" s="1">
        <f>Tabell15[[#This Row],[RANK MÅL]]</f>
        <v>45</v>
      </c>
      <c r="P71" s="1">
        <f>Tabell15[[#This Row],[RANK MAT]]</f>
        <v>53</v>
      </c>
      <c r="Q71" t="s">
        <v>94</v>
      </c>
      <c r="R71" s="1">
        <f>SUMIF(B:B,Tabell15[[#This Row],[Namn]],C:C)</f>
        <v>8</v>
      </c>
      <c r="S71" s="5">
        <f>Tabell15[[#This Row],[MAT]]/Tabell15[[#This Row],[LAG MATCH]]</f>
        <v>0.38095238095238093</v>
      </c>
      <c r="T71" s="1">
        <f>SUMIF(B:B,Tabell15[[#This Row],[Namn]],E:E)</f>
        <v>0</v>
      </c>
      <c r="U71" s="1">
        <f>SUMIF(B:B,Tabell15[[#This Row],[Namn]],F:F)</f>
        <v>0</v>
      </c>
      <c r="V71" s="1">
        <f>SUMIF(B:B,Tabell15[[#This Row],[Namn]],G:G)</f>
        <v>0</v>
      </c>
      <c r="W71" s="1">
        <f>SUMIF(B:B,Tabell15[[#This Row],[Namn]],H:H)</f>
        <v>21</v>
      </c>
      <c r="X71" s="1">
        <f>RANK(Tabell15[[#This Row],[MAT]],R:R)</f>
        <v>53</v>
      </c>
      <c r="Y71" s="1">
        <f>RANK(Tabell15[[#This Row],[MÅL]],V:V)</f>
        <v>45</v>
      </c>
      <c r="Z71" s="1">
        <f>RANK(Tabell15[[#This Row],[VAR]],T:T)</f>
        <v>32</v>
      </c>
      <c r="AA71" s="1">
        <f>VLOOKUP(Tabell15[[#This Row],[Namn]],Tabell4[[Namn]:[SENASTE]],6,0)</f>
        <v>2021</v>
      </c>
    </row>
    <row r="72" spans="1:27" x14ac:dyDescent="0.2">
      <c r="A72">
        <v>2022</v>
      </c>
      <c r="B72" t="s">
        <v>50</v>
      </c>
      <c r="C72">
        <v>25</v>
      </c>
      <c r="D72">
        <v>0.86206896551724133</v>
      </c>
      <c r="E72">
        <v>1</v>
      </c>
      <c r="F72">
        <v>0</v>
      </c>
      <c r="G72">
        <v>0</v>
      </c>
      <c r="H72">
        <v>29</v>
      </c>
      <c r="I72">
        <v>0</v>
      </c>
      <c r="J72">
        <v>2022</v>
      </c>
      <c r="K72">
        <v>1993</v>
      </c>
      <c r="L72">
        <v>29</v>
      </c>
      <c r="M72">
        <v>2</v>
      </c>
      <c r="O72" s="10">
        <f>Tabell15[[#This Row],[RANK MÅL]]</f>
        <v>45</v>
      </c>
      <c r="P72" s="10">
        <f>Tabell15[[#This Row],[RANK MAT]]</f>
        <v>65</v>
      </c>
      <c r="Q72" t="s">
        <v>95</v>
      </c>
      <c r="R72" s="1">
        <f>SUMIF(B:B,Tabell15[[#This Row],[Namn]],C:C)</f>
        <v>3</v>
      </c>
      <c r="S72" s="5">
        <f>Tabell15[[#This Row],[MAT]]/Tabell15[[#This Row],[LAG MATCH]]</f>
        <v>0.27272727272727271</v>
      </c>
      <c r="T72" s="1">
        <f>SUMIF(B:B,Tabell15[[#This Row],[Namn]],E:E)</f>
        <v>0</v>
      </c>
      <c r="U72" s="1">
        <f>SUMIF(B:B,Tabell15[[#This Row],[Namn]],F:F)</f>
        <v>0</v>
      </c>
      <c r="V72" s="1">
        <f>SUMIF(B:B,Tabell15[[#This Row],[Namn]],G:G)</f>
        <v>0</v>
      </c>
      <c r="W72" s="1">
        <f>SUMIF(B:B,Tabell15[[#This Row],[Namn]],H:H)</f>
        <v>11</v>
      </c>
      <c r="X72" s="1">
        <f>RANK(Tabell15[[#This Row],[MAT]],R:R)</f>
        <v>65</v>
      </c>
      <c r="Y72" s="1">
        <f>RANK(Tabell15[[#This Row],[MÅL]],V:V)</f>
        <v>45</v>
      </c>
      <c r="Z72" s="1">
        <f>RANK(Tabell15[[#This Row],[VAR]],T:T)</f>
        <v>32</v>
      </c>
      <c r="AA72" s="1">
        <f>VLOOKUP(Tabell15[[#This Row],[Namn]],Tabell4[[Namn]:[SENASTE]],6,0)</f>
        <v>2021</v>
      </c>
    </row>
    <row r="73" spans="1:27" x14ac:dyDescent="0.2">
      <c r="A73">
        <v>2022</v>
      </c>
      <c r="B73" t="s">
        <v>69</v>
      </c>
      <c r="C73">
        <v>23</v>
      </c>
      <c r="D73">
        <v>0.7931034482758621</v>
      </c>
      <c r="E73">
        <v>0</v>
      </c>
      <c r="F73">
        <v>0</v>
      </c>
      <c r="G73">
        <v>1</v>
      </c>
      <c r="H73">
        <v>29</v>
      </c>
      <c r="I73">
        <v>4.3478260869565216E-2</v>
      </c>
      <c r="J73">
        <v>2022</v>
      </c>
      <c r="K73">
        <v>1996</v>
      </c>
      <c r="L73">
        <v>26</v>
      </c>
      <c r="M73">
        <v>2</v>
      </c>
      <c r="O73" s="1">
        <f>Tabell15[[#This Row],[RANK MÅL]]</f>
        <v>45</v>
      </c>
      <c r="P73" s="1">
        <f>Tabell15[[#This Row],[RANK MAT]]</f>
        <v>65</v>
      </c>
      <c r="Q73" t="s">
        <v>96</v>
      </c>
      <c r="R73" s="1">
        <f>SUMIF(B:B,Tabell15[[#This Row],[Namn]],C:C)</f>
        <v>3</v>
      </c>
      <c r="S73" s="5">
        <f>Tabell15[[#This Row],[MAT]]/Tabell15[[#This Row],[LAG MATCH]]</f>
        <v>0.27272727272727271</v>
      </c>
      <c r="T73" s="1">
        <f>SUMIF(B:B,Tabell15[[#This Row],[Namn]],E:E)</f>
        <v>0</v>
      </c>
      <c r="U73" s="1">
        <f>SUMIF(B:B,Tabell15[[#This Row],[Namn]],F:F)</f>
        <v>0</v>
      </c>
      <c r="V73" s="1">
        <f>SUMIF(B:B,Tabell15[[#This Row],[Namn]],G:G)</f>
        <v>0</v>
      </c>
      <c r="W73" s="1">
        <f>SUMIF(B:B,Tabell15[[#This Row],[Namn]],H:H)</f>
        <v>11</v>
      </c>
      <c r="X73" s="1">
        <f>RANK(Tabell15[[#This Row],[MAT]],R:R)</f>
        <v>65</v>
      </c>
      <c r="Y73" s="1">
        <f>RANK(Tabell15[[#This Row],[MÅL]],V:V)</f>
        <v>45</v>
      </c>
      <c r="Z73" s="1">
        <f>RANK(Tabell15[[#This Row],[VAR]],T:T)</f>
        <v>32</v>
      </c>
      <c r="AA73" s="1">
        <f>VLOOKUP(Tabell15[[#This Row],[Namn]],Tabell4[[Namn]:[SENASTE]],6,0)</f>
        <v>2021</v>
      </c>
    </row>
    <row r="74" spans="1:27" x14ac:dyDescent="0.2">
      <c r="A74">
        <v>2022</v>
      </c>
      <c r="B74" t="s">
        <v>84</v>
      </c>
      <c r="C74">
        <v>23</v>
      </c>
      <c r="D74">
        <v>0.7931034482758621</v>
      </c>
      <c r="E74">
        <v>0</v>
      </c>
      <c r="F74">
        <v>0</v>
      </c>
      <c r="G74">
        <v>0</v>
      </c>
      <c r="H74">
        <v>29</v>
      </c>
      <c r="I74">
        <v>0</v>
      </c>
      <c r="J74">
        <v>2022</v>
      </c>
      <c r="K74">
        <v>1997</v>
      </c>
      <c r="L74">
        <v>25</v>
      </c>
      <c r="M74">
        <v>2</v>
      </c>
      <c r="O74" s="10">
        <f>Tabell15[[#This Row],[RANK MÅL]]</f>
        <v>45</v>
      </c>
      <c r="P74" s="10">
        <f>Tabell15[[#This Row],[RANK MAT]]</f>
        <v>69</v>
      </c>
      <c r="Q74" t="s">
        <v>97</v>
      </c>
      <c r="R74" s="1">
        <f>SUMIF(B:B,Tabell15[[#This Row],[Namn]],C:C)</f>
        <v>2</v>
      </c>
      <c r="S74" s="5">
        <f>Tabell15[[#This Row],[MAT]]/Tabell15[[#This Row],[LAG MATCH]]</f>
        <v>0.18181818181818182</v>
      </c>
      <c r="T74" s="1">
        <f>SUMIF(B:B,Tabell15[[#This Row],[Namn]],E:E)</f>
        <v>0</v>
      </c>
      <c r="U74" s="1">
        <f>SUMIF(B:B,Tabell15[[#This Row],[Namn]],F:F)</f>
        <v>0</v>
      </c>
      <c r="V74" s="1">
        <f>SUMIF(B:B,Tabell15[[#This Row],[Namn]],G:G)</f>
        <v>0</v>
      </c>
      <c r="W74" s="1">
        <f>SUMIF(B:B,Tabell15[[#This Row],[Namn]],H:H)</f>
        <v>11</v>
      </c>
      <c r="X74" s="1">
        <f>RANK(Tabell15[[#This Row],[MAT]],R:R)</f>
        <v>69</v>
      </c>
      <c r="Y74" s="1">
        <f>RANK(Tabell15[[#This Row],[MÅL]],V:V)</f>
        <v>45</v>
      </c>
      <c r="Z74" s="1">
        <f>RANK(Tabell15[[#This Row],[VAR]],T:T)</f>
        <v>32</v>
      </c>
      <c r="AA74" s="1">
        <f>VLOOKUP(Tabell15[[#This Row],[Namn]],Tabell4[[Namn]:[SENASTE]],6,0)</f>
        <v>2021</v>
      </c>
    </row>
    <row r="75" spans="1:27" x14ac:dyDescent="0.2">
      <c r="A75">
        <v>2022</v>
      </c>
      <c r="B75" t="s">
        <v>79</v>
      </c>
      <c r="C75">
        <v>22</v>
      </c>
      <c r="D75">
        <v>0.75862068965517238</v>
      </c>
      <c r="E75">
        <v>0</v>
      </c>
      <c r="F75">
        <v>0</v>
      </c>
      <c r="G75">
        <v>1</v>
      </c>
      <c r="H75">
        <v>29</v>
      </c>
      <c r="I75">
        <v>4.5454545454545456E-2</v>
      </c>
      <c r="J75">
        <v>2022</v>
      </c>
      <c r="K75">
        <v>2004</v>
      </c>
      <c r="L75">
        <v>18</v>
      </c>
      <c r="M75">
        <v>2</v>
      </c>
      <c r="O75" s="1">
        <f>Tabell15[[#This Row],[RANK MÅL]]</f>
        <v>45</v>
      </c>
      <c r="P75" s="1">
        <f>Tabell15[[#This Row],[RANK MAT]]</f>
        <v>75</v>
      </c>
      <c r="Q75" t="s">
        <v>98</v>
      </c>
      <c r="R75" s="1">
        <f>SUMIF(B:B,Tabell15[[#This Row],[Namn]],C:C)</f>
        <v>1</v>
      </c>
      <c r="S75" s="5">
        <f>Tabell15[[#This Row],[MAT]]/Tabell15[[#This Row],[LAG MATCH]]</f>
        <v>9.0909090909090912E-2</v>
      </c>
      <c r="T75" s="1">
        <f>SUMIF(B:B,Tabell15[[#This Row],[Namn]],E:E)</f>
        <v>0</v>
      </c>
      <c r="U75" s="1">
        <f>SUMIF(B:B,Tabell15[[#This Row],[Namn]],F:F)</f>
        <v>0</v>
      </c>
      <c r="V75" s="1">
        <f>SUMIF(B:B,Tabell15[[#This Row],[Namn]],G:G)</f>
        <v>0</v>
      </c>
      <c r="W75" s="1">
        <f>SUMIF(B:B,Tabell15[[#This Row],[Namn]],H:H)</f>
        <v>11</v>
      </c>
      <c r="X75" s="1">
        <f>RANK(Tabell15[[#This Row],[MAT]],R:R)</f>
        <v>75</v>
      </c>
      <c r="Y75" s="1">
        <f>RANK(Tabell15[[#This Row],[MÅL]],V:V)</f>
        <v>45</v>
      </c>
      <c r="Z75" s="1">
        <f>RANK(Tabell15[[#This Row],[VAR]],T:T)</f>
        <v>32</v>
      </c>
      <c r="AA75" s="1">
        <f>VLOOKUP(Tabell15[[#This Row],[Namn]],Tabell4[[Namn]:[SENASTE]],6,0)</f>
        <v>2021</v>
      </c>
    </row>
    <row r="76" spans="1:27" x14ac:dyDescent="0.2">
      <c r="A76">
        <v>2022</v>
      </c>
      <c r="B76" t="s">
        <v>36</v>
      </c>
      <c r="C76">
        <v>19</v>
      </c>
      <c r="D76">
        <v>0.65517241379310343</v>
      </c>
      <c r="E76">
        <v>2</v>
      </c>
      <c r="F76">
        <v>0</v>
      </c>
      <c r="G76">
        <v>6</v>
      </c>
      <c r="H76">
        <v>29</v>
      </c>
      <c r="I76">
        <v>0.31578947368421051</v>
      </c>
      <c r="J76">
        <v>2022</v>
      </c>
      <c r="K76">
        <v>2002</v>
      </c>
      <c r="L76">
        <v>20</v>
      </c>
      <c r="M76">
        <v>2</v>
      </c>
      <c r="O76" s="10">
        <f>Tabell15[[#This Row],[RANK MÅL]]</f>
        <v>45</v>
      </c>
      <c r="P76" s="10">
        <f>Tabell15[[#This Row],[RANK MAT]]</f>
        <v>35</v>
      </c>
      <c r="Q76" t="s">
        <v>31</v>
      </c>
      <c r="R76" s="1">
        <f>SUMIF(B:B,Tabell15[[#This Row],[Namn]],C:C)</f>
        <v>21</v>
      </c>
      <c r="S76" s="5">
        <f>Tabell15[[#This Row],[MAT]]/Tabell15[[#This Row],[LAG MATCH]]</f>
        <v>0.75</v>
      </c>
      <c r="T76" s="1">
        <f>SUMIF(B:B,Tabell15[[#This Row],[Namn]],E:E)</f>
        <v>0</v>
      </c>
      <c r="U76" s="1">
        <f>SUMIF(B:B,Tabell15[[#This Row],[Namn]],F:F)</f>
        <v>0</v>
      </c>
      <c r="V76" s="1">
        <f>SUMIF(B:B,Tabell15[[#This Row],[Namn]],G:G)</f>
        <v>0</v>
      </c>
      <c r="W76" s="1">
        <f>SUMIF(B:B,Tabell15[[#This Row],[Namn]],H:H)</f>
        <v>28</v>
      </c>
      <c r="X76" s="1">
        <f>RANK(Tabell15[[#This Row],[MAT]],R:R)</f>
        <v>35</v>
      </c>
      <c r="Y76" s="1">
        <f>RANK(Tabell15[[#This Row],[MÅL]],V:V)</f>
        <v>45</v>
      </c>
      <c r="Z76" s="1">
        <f>RANK(Tabell15[[#This Row],[VAR]],T:T)</f>
        <v>32</v>
      </c>
      <c r="AA76" s="1">
        <f>VLOOKUP(Tabell15[[#This Row],[Namn]],Tabell4[[Namn]:[SENASTE]],6,0)</f>
        <v>2026</v>
      </c>
    </row>
    <row r="77" spans="1:27" x14ac:dyDescent="0.2">
      <c r="A77">
        <v>2022</v>
      </c>
      <c r="B77" t="s">
        <v>76</v>
      </c>
      <c r="C77">
        <v>13</v>
      </c>
      <c r="D77">
        <v>0.44827586206896552</v>
      </c>
      <c r="E77">
        <v>0</v>
      </c>
      <c r="F77">
        <v>0</v>
      </c>
      <c r="G77">
        <v>2</v>
      </c>
      <c r="H77">
        <v>29</v>
      </c>
      <c r="I77">
        <v>0.15384615384615385</v>
      </c>
      <c r="J77">
        <v>2022</v>
      </c>
      <c r="K77">
        <v>1991</v>
      </c>
      <c r="L77">
        <v>31</v>
      </c>
      <c r="M77">
        <v>2</v>
      </c>
      <c r="O77" s="1">
        <f>Tabell15[[#This Row],[RANK MÅL]]</f>
        <v>45</v>
      </c>
      <c r="P77" s="1">
        <f>Tabell15[[#This Row],[RANK MAT]]</f>
        <v>49</v>
      </c>
      <c r="Q77" t="s">
        <v>102</v>
      </c>
      <c r="R77" s="1">
        <f>SUMIF(B:B,Tabell15[[#This Row],[Namn]],C:C)</f>
        <v>13</v>
      </c>
      <c r="S77" s="5">
        <f>Tabell15[[#This Row],[MAT]]/Tabell15[[#This Row],[LAG MATCH]]</f>
        <v>0.3611111111111111</v>
      </c>
      <c r="T77" s="1">
        <f>SUMIF(B:B,Tabell15[[#This Row],[Namn]],E:E)</f>
        <v>0</v>
      </c>
      <c r="U77" s="1">
        <f>SUMIF(B:B,Tabell15[[#This Row],[Namn]],F:F)</f>
        <v>0</v>
      </c>
      <c r="V77" s="1">
        <f>SUMIF(B:B,Tabell15[[#This Row],[Namn]],G:G)</f>
        <v>0</v>
      </c>
      <c r="W77" s="1">
        <f>SUMIF(B:B,Tabell15[[#This Row],[Namn]],H:H)</f>
        <v>36</v>
      </c>
      <c r="X77" s="1">
        <f>RANK(Tabell15[[#This Row],[MAT]],R:R)</f>
        <v>49</v>
      </c>
      <c r="Y77" s="1">
        <f>RANK(Tabell15[[#This Row],[MÅL]],V:V)</f>
        <v>45</v>
      </c>
      <c r="Z77" s="1">
        <f>RANK(Tabell15[[#This Row],[VAR]],T:T)</f>
        <v>32</v>
      </c>
      <c r="AA77" s="1">
        <f>VLOOKUP(Tabell15[[#This Row],[Namn]],Tabell4[[Namn]:[SENASTE]],6,0)</f>
        <v>2020</v>
      </c>
    </row>
    <row r="78" spans="1:27" x14ac:dyDescent="0.2">
      <c r="A78">
        <v>2022</v>
      </c>
      <c r="B78" t="s">
        <v>85</v>
      </c>
      <c r="C78">
        <v>11</v>
      </c>
      <c r="D78">
        <v>0.37931034482758619</v>
      </c>
      <c r="E78">
        <v>0</v>
      </c>
      <c r="F78">
        <v>0</v>
      </c>
      <c r="G78">
        <v>4</v>
      </c>
      <c r="H78">
        <v>29</v>
      </c>
      <c r="I78">
        <v>0.36363636363636365</v>
      </c>
      <c r="J78">
        <v>2022</v>
      </c>
      <c r="K78">
        <v>2000</v>
      </c>
      <c r="L78">
        <v>22</v>
      </c>
      <c r="M78">
        <v>2</v>
      </c>
      <c r="O78" s="10">
        <f>Tabell15[[#This Row],[RANK MÅL]]</f>
        <v>45</v>
      </c>
      <c r="P78" s="10">
        <f>Tabell15[[#This Row],[RANK MAT]]</f>
        <v>69</v>
      </c>
      <c r="Q78" t="s">
        <v>38</v>
      </c>
      <c r="R78" s="1">
        <f>SUMIF(B:B,Tabell15[[#This Row],[Namn]],C:C)</f>
        <v>2</v>
      </c>
      <c r="S78" s="5">
        <f>Tabell15[[#This Row],[MAT]]/Tabell15[[#This Row],[LAG MATCH]]</f>
        <v>0.2</v>
      </c>
      <c r="T78" s="1">
        <f>SUMIF(B:B,Tabell15[[#This Row],[Namn]],E:E)</f>
        <v>0</v>
      </c>
      <c r="U78" s="1">
        <f>SUMIF(B:B,Tabell15[[#This Row],[Namn]],F:F)</f>
        <v>0</v>
      </c>
      <c r="V78" s="1">
        <f>SUMIF(B:B,Tabell15[[#This Row],[Namn]],G:G)</f>
        <v>0</v>
      </c>
      <c r="W78" s="1">
        <f>SUMIF(B:B,Tabell15[[#This Row],[Namn]],H:H)</f>
        <v>10</v>
      </c>
      <c r="X78" s="1">
        <f>RANK(Tabell15[[#This Row],[MAT]],R:R)</f>
        <v>69</v>
      </c>
      <c r="Y78" s="1">
        <f>RANK(Tabell15[[#This Row],[MÅL]],V:V)</f>
        <v>45</v>
      </c>
      <c r="Z78" s="1">
        <f>RANK(Tabell15[[#This Row],[VAR]],T:T)</f>
        <v>32</v>
      </c>
      <c r="AA78" s="1">
        <f>VLOOKUP(Tabell15[[#This Row],[Namn]],Tabell4[[Namn]:[SENASTE]],6,0)</f>
        <v>2026</v>
      </c>
    </row>
    <row r="79" spans="1:27" x14ac:dyDescent="0.2">
      <c r="A79">
        <v>2022</v>
      </c>
      <c r="B79" t="s">
        <v>43</v>
      </c>
      <c r="C79">
        <v>8</v>
      </c>
      <c r="D79">
        <v>0.27586206896551724</v>
      </c>
      <c r="E79">
        <v>0</v>
      </c>
      <c r="F79">
        <v>0</v>
      </c>
      <c r="G79">
        <v>1</v>
      </c>
      <c r="H79">
        <v>29</v>
      </c>
      <c r="I79">
        <v>0.125</v>
      </c>
      <c r="J79">
        <v>2022</v>
      </c>
      <c r="K79">
        <v>2002</v>
      </c>
      <c r="L79">
        <v>20</v>
      </c>
      <c r="M79">
        <v>2</v>
      </c>
      <c r="O79" s="1">
        <f>Tabell15[[#This Row],[RANK MÅL]]</f>
        <v>45</v>
      </c>
      <c r="P79" s="1">
        <f>Tabell15[[#This Row],[RANK MAT]]</f>
        <v>75</v>
      </c>
      <c r="Q79" t="s">
        <v>103</v>
      </c>
      <c r="R79" s="1">
        <f>SUMIF(B:B,Tabell15[[#This Row],[Namn]],C:C)</f>
        <v>1</v>
      </c>
      <c r="S79" s="5">
        <f>Tabell15[[#This Row],[MAT]]/Tabell15[[#This Row],[LAG MATCH]]</f>
        <v>0.1</v>
      </c>
      <c r="T79" s="1">
        <f>SUMIF(B:B,Tabell15[[#This Row],[Namn]],E:E)</f>
        <v>0</v>
      </c>
      <c r="U79" s="1">
        <f>SUMIF(B:B,Tabell15[[#This Row],[Namn]],F:F)</f>
        <v>0</v>
      </c>
      <c r="V79" s="1">
        <f>SUMIF(B:B,Tabell15[[#This Row],[Namn]],G:G)</f>
        <v>0</v>
      </c>
      <c r="W79" s="1">
        <f>SUMIF(B:B,Tabell15[[#This Row],[Namn]],H:H)</f>
        <v>10</v>
      </c>
      <c r="X79" s="1">
        <f>RANK(Tabell15[[#This Row],[MAT]],R:R)</f>
        <v>75</v>
      </c>
      <c r="Y79" s="1">
        <f>RANK(Tabell15[[#This Row],[MÅL]],V:V)</f>
        <v>45</v>
      </c>
      <c r="Z79" s="1">
        <f>RANK(Tabell15[[#This Row],[VAR]],T:T)</f>
        <v>32</v>
      </c>
      <c r="AA79" s="1">
        <f>VLOOKUP(Tabell15[[#This Row],[Namn]],Tabell4[[Namn]:[SENASTE]],6,0)</f>
        <v>2020</v>
      </c>
    </row>
    <row r="80" spans="1:27" x14ac:dyDescent="0.2">
      <c r="A80">
        <v>2022</v>
      </c>
      <c r="B80" t="s">
        <v>86</v>
      </c>
      <c r="C80">
        <v>8</v>
      </c>
      <c r="D80">
        <v>0.27586206896551724</v>
      </c>
      <c r="E80">
        <v>0</v>
      </c>
      <c r="F80">
        <v>0</v>
      </c>
      <c r="G80">
        <v>0</v>
      </c>
      <c r="H80">
        <v>29</v>
      </c>
      <c r="I80">
        <v>0</v>
      </c>
      <c r="J80">
        <v>2022</v>
      </c>
      <c r="K80">
        <v>2003</v>
      </c>
      <c r="L80">
        <v>19</v>
      </c>
      <c r="M80">
        <v>2</v>
      </c>
      <c r="O80" s="10">
        <f>Tabell15[[#This Row],[RANK MÅL]]</f>
        <v>45</v>
      </c>
      <c r="P80" s="10">
        <f>Tabell15[[#This Row],[RANK MAT]]</f>
        <v>75</v>
      </c>
      <c r="Q80" t="s">
        <v>104</v>
      </c>
      <c r="R80" s="1">
        <f>SUMIF(B:B,Tabell15[[#This Row],[Namn]],C:C)</f>
        <v>1</v>
      </c>
      <c r="S80" s="5">
        <f>Tabell15[[#This Row],[MAT]]/Tabell15[[#This Row],[LAG MATCH]]</f>
        <v>0.1</v>
      </c>
      <c r="T80" s="1">
        <f>SUMIF(B:B,Tabell15[[#This Row],[Namn]],E:E)</f>
        <v>0</v>
      </c>
      <c r="U80" s="1">
        <f>SUMIF(B:B,Tabell15[[#This Row],[Namn]],F:F)</f>
        <v>0</v>
      </c>
      <c r="V80" s="1">
        <f>SUMIF(B:B,Tabell15[[#This Row],[Namn]],G:G)</f>
        <v>0</v>
      </c>
      <c r="W80" s="1">
        <f>SUMIF(B:B,Tabell15[[#This Row],[Namn]],H:H)</f>
        <v>10</v>
      </c>
      <c r="X80" s="1">
        <f>RANK(Tabell15[[#This Row],[MAT]],R:R)</f>
        <v>75</v>
      </c>
      <c r="Y80" s="1">
        <f>RANK(Tabell15[[#This Row],[MÅL]],V:V)</f>
        <v>45</v>
      </c>
      <c r="Z80" s="1">
        <f>RANK(Tabell15[[#This Row],[VAR]],T:T)</f>
        <v>32</v>
      </c>
      <c r="AA80" s="1">
        <f>VLOOKUP(Tabell15[[#This Row],[Namn]],Tabell4[[Namn]:[SENASTE]],6,0)</f>
        <v>2020</v>
      </c>
    </row>
    <row r="81" spans="1:27" x14ac:dyDescent="0.2">
      <c r="A81">
        <v>2022</v>
      </c>
      <c r="B81" t="s">
        <v>64</v>
      </c>
      <c r="C81">
        <v>5</v>
      </c>
      <c r="D81">
        <v>0.17241379310344829</v>
      </c>
      <c r="E81">
        <v>0</v>
      </c>
      <c r="F81">
        <v>0</v>
      </c>
      <c r="G81">
        <v>1</v>
      </c>
      <c r="H81">
        <v>29</v>
      </c>
      <c r="I81">
        <v>0.2</v>
      </c>
      <c r="J81">
        <v>2022</v>
      </c>
      <c r="K81">
        <v>2001</v>
      </c>
      <c r="L81">
        <v>21</v>
      </c>
      <c r="M81">
        <v>2</v>
      </c>
      <c r="O81" s="1">
        <f>Tabell15[[#This Row],[RANK MÅL]]</f>
        <v>45</v>
      </c>
      <c r="P81" s="1">
        <f>Tabell15[[#This Row],[RANK MAT]]</f>
        <v>69</v>
      </c>
      <c r="Q81" t="s">
        <v>110</v>
      </c>
      <c r="R81" s="1">
        <f>SUMIF(B:B,Tabell15[[#This Row],[Namn]],C:C)</f>
        <v>2</v>
      </c>
      <c r="S81" s="5">
        <f>Tabell15[[#This Row],[MAT]]/Tabell15[[#This Row],[LAG MATCH]]</f>
        <v>7.6923076923076927E-2</v>
      </c>
      <c r="T81" s="1">
        <f>SUMIF(B:B,Tabell15[[#This Row],[Namn]],E:E)</f>
        <v>0</v>
      </c>
      <c r="U81" s="1">
        <f>SUMIF(B:B,Tabell15[[#This Row],[Namn]],F:F)</f>
        <v>0</v>
      </c>
      <c r="V81" s="1">
        <f>SUMIF(B:B,Tabell15[[#This Row],[Namn]],G:G)</f>
        <v>0</v>
      </c>
      <c r="W81" s="1">
        <f>SUMIF(B:B,Tabell15[[#This Row],[Namn]],H:H)</f>
        <v>26</v>
      </c>
      <c r="X81" s="1">
        <f>RANK(Tabell15[[#This Row],[MAT]],R:R)</f>
        <v>69</v>
      </c>
      <c r="Y81" s="1">
        <f>RANK(Tabell15[[#This Row],[MÅL]],V:V)</f>
        <v>45</v>
      </c>
      <c r="Z81" s="1">
        <f>RANK(Tabell15[[#This Row],[VAR]],T:T)</f>
        <v>32</v>
      </c>
      <c r="AA81" s="1">
        <f>VLOOKUP(Tabell15[[#This Row],[Namn]],Tabell4[[Namn]:[SENASTE]],6,0)</f>
        <v>2019</v>
      </c>
    </row>
    <row r="82" spans="1:27" x14ac:dyDescent="0.2">
      <c r="A82">
        <v>2022</v>
      </c>
      <c r="B82" t="s">
        <v>41</v>
      </c>
      <c r="C82">
        <v>4</v>
      </c>
      <c r="D82">
        <v>0.13793103448275862</v>
      </c>
      <c r="E82">
        <v>0</v>
      </c>
      <c r="F82">
        <v>0</v>
      </c>
      <c r="G82">
        <v>0</v>
      </c>
      <c r="H82">
        <v>29</v>
      </c>
      <c r="I82">
        <v>0</v>
      </c>
      <c r="J82">
        <v>2022</v>
      </c>
      <c r="K82">
        <v>2005</v>
      </c>
      <c r="L82">
        <v>17</v>
      </c>
      <c r="M82">
        <v>2</v>
      </c>
      <c r="O82" s="10">
        <f>Tabell15[[#This Row],[RANK MÅL]]</f>
        <v>45</v>
      </c>
      <c r="P82" s="10">
        <f>Tabell15[[#This Row],[RANK MAT]]</f>
        <v>60</v>
      </c>
      <c r="Q82" t="s">
        <v>115</v>
      </c>
      <c r="R82" s="1">
        <f>SUMIF(B:B,Tabell15[[#This Row],[Namn]],C:C)</f>
        <v>4</v>
      </c>
      <c r="S82" s="5">
        <f>Tabell15[[#This Row],[MAT]]/Tabell15[[#This Row],[LAG MATCH]]</f>
        <v>0.22222222222222221</v>
      </c>
      <c r="T82" s="1">
        <f>SUMIF(B:B,Tabell15[[#This Row],[Namn]],E:E)</f>
        <v>0</v>
      </c>
      <c r="U82" s="1">
        <f>SUMIF(B:B,Tabell15[[#This Row],[Namn]],F:F)</f>
        <v>0</v>
      </c>
      <c r="V82" s="1">
        <f>SUMIF(B:B,Tabell15[[#This Row],[Namn]],G:G)</f>
        <v>0</v>
      </c>
      <c r="W82" s="1">
        <f>SUMIF(B:B,Tabell15[[#This Row],[Namn]],H:H)</f>
        <v>18</v>
      </c>
      <c r="X82" s="1">
        <f>RANK(Tabell15[[#This Row],[MAT]],R:R)</f>
        <v>60</v>
      </c>
      <c r="Y82" s="1">
        <f>RANK(Tabell15[[#This Row],[MÅL]],V:V)</f>
        <v>45</v>
      </c>
      <c r="Z82" s="1">
        <f>RANK(Tabell15[[#This Row],[VAR]],T:T)</f>
        <v>32</v>
      </c>
      <c r="AA82" s="1">
        <f>VLOOKUP(Tabell15[[#This Row],[Namn]],Tabell4[[Namn]:[SENASTE]],6,0)</f>
        <v>2018</v>
      </c>
    </row>
    <row r="83" spans="1:27" x14ac:dyDescent="0.2">
      <c r="A83">
        <v>2022</v>
      </c>
      <c r="B83" t="s">
        <v>87</v>
      </c>
      <c r="C83">
        <v>3</v>
      </c>
      <c r="D83">
        <v>0.10344827586206896</v>
      </c>
      <c r="E83">
        <v>0</v>
      </c>
      <c r="F83">
        <v>0</v>
      </c>
      <c r="G83">
        <v>0</v>
      </c>
      <c r="H83">
        <v>29</v>
      </c>
      <c r="I83">
        <v>0</v>
      </c>
      <c r="J83">
        <v>2022</v>
      </c>
      <c r="K83">
        <v>1991</v>
      </c>
      <c r="L83">
        <v>31</v>
      </c>
      <c r="M83">
        <v>2</v>
      </c>
      <c r="O83" s="1">
        <f>Tabell15[[#This Row],[RANK MÅL]]</f>
        <v>45</v>
      </c>
      <c r="P83" s="1">
        <f>Tabell15[[#This Row],[RANK MAT]]</f>
        <v>60</v>
      </c>
      <c r="Q83" t="s">
        <v>116</v>
      </c>
      <c r="R83" s="1">
        <f>SUMIF(B:B,Tabell15[[#This Row],[Namn]],C:C)</f>
        <v>4</v>
      </c>
      <c r="S83" s="5">
        <f>Tabell15[[#This Row],[MAT]]/Tabell15[[#This Row],[LAG MATCH]]</f>
        <v>0.22222222222222221</v>
      </c>
      <c r="T83" s="1">
        <f>SUMIF(B:B,Tabell15[[#This Row],[Namn]],E:E)</f>
        <v>0</v>
      </c>
      <c r="U83" s="1">
        <f>SUMIF(B:B,Tabell15[[#This Row],[Namn]],F:F)</f>
        <v>0</v>
      </c>
      <c r="V83" s="1">
        <f>SUMIF(B:B,Tabell15[[#This Row],[Namn]],G:G)</f>
        <v>0</v>
      </c>
      <c r="W83" s="1">
        <f>SUMIF(B:B,Tabell15[[#This Row],[Namn]],H:H)</f>
        <v>18</v>
      </c>
      <c r="X83" s="1">
        <f>RANK(Tabell15[[#This Row],[MAT]],R:R)</f>
        <v>60</v>
      </c>
      <c r="Y83" s="1">
        <f>RANK(Tabell15[[#This Row],[MÅL]],V:V)</f>
        <v>45</v>
      </c>
      <c r="Z83" s="1">
        <f>RANK(Tabell15[[#This Row],[VAR]],T:T)</f>
        <v>32</v>
      </c>
      <c r="AA83" s="1">
        <f>VLOOKUP(Tabell15[[#This Row],[Namn]],Tabell4[[Namn]:[SENASTE]],6,0)</f>
        <v>2018</v>
      </c>
    </row>
    <row r="84" spans="1:27" x14ac:dyDescent="0.2">
      <c r="A84">
        <v>2022</v>
      </c>
      <c r="B84" t="s">
        <v>88</v>
      </c>
      <c r="C84">
        <v>2</v>
      </c>
      <c r="D84">
        <v>6.8965517241379309E-2</v>
      </c>
      <c r="E84">
        <v>0</v>
      </c>
      <c r="F84">
        <v>0</v>
      </c>
      <c r="G84">
        <v>0</v>
      </c>
      <c r="H84">
        <v>29</v>
      </c>
      <c r="I84">
        <v>0</v>
      </c>
      <c r="J84">
        <v>2022</v>
      </c>
      <c r="K84">
        <v>2004</v>
      </c>
      <c r="L84">
        <v>18</v>
      </c>
      <c r="M84">
        <v>2</v>
      </c>
    </row>
    <row r="85" spans="1:27" x14ac:dyDescent="0.2">
      <c r="A85">
        <v>2022</v>
      </c>
      <c r="B85" t="s">
        <v>89</v>
      </c>
      <c r="C85">
        <v>2</v>
      </c>
      <c r="D85">
        <v>6.8965517241379309E-2</v>
      </c>
      <c r="E85">
        <v>0</v>
      </c>
      <c r="F85">
        <v>0</v>
      </c>
      <c r="G85">
        <v>0</v>
      </c>
      <c r="H85">
        <v>29</v>
      </c>
      <c r="I85">
        <v>0</v>
      </c>
      <c r="J85">
        <v>2022</v>
      </c>
      <c r="K85">
        <v>1991</v>
      </c>
      <c r="L85">
        <v>31</v>
      </c>
      <c r="M85">
        <v>2</v>
      </c>
    </row>
    <row r="86" spans="1:27" x14ac:dyDescent="0.2">
      <c r="A86">
        <v>2022</v>
      </c>
      <c r="B86" t="s">
        <v>29</v>
      </c>
      <c r="C86">
        <v>1</v>
      </c>
      <c r="D86">
        <v>3.4482758620689655E-2</v>
      </c>
      <c r="E86">
        <v>0</v>
      </c>
      <c r="F86">
        <v>0</v>
      </c>
      <c r="G86">
        <v>0</v>
      </c>
      <c r="H86">
        <v>29</v>
      </c>
      <c r="I86">
        <v>0</v>
      </c>
      <c r="J86">
        <v>2022</v>
      </c>
      <c r="K86">
        <v>2007</v>
      </c>
      <c r="L86">
        <v>15</v>
      </c>
      <c r="M86">
        <v>2</v>
      </c>
    </row>
    <row r="87" spans="1:27" x14ac:dyDescent="0.2">
      <c r="A87">
        <v>2022</v>
      </c>
      <c r="B87" t="s">
        <v>90</v>
      </c>
      <c r="C87">
        <v>1</v>
      </c>
      <c r="D87">
        <v>3.4482758620689655E-2</v>
      </c>
      <c r="E87">
        <v>0</v>
      </c>
      <c r="F87">
        <v>0</v>
      </c>
      <c r="G87">
        <v>0</v>
      </c>
      <c r="H87">
        <v>29</v>
      </c>
      <c r="I87">
        <v>0</v>
      </c>
      <c r="J87">
        <v>2022</v>
      </c>
      <c r="K87">
        <v>2004</v>
      </c>
      <c r="L87">
        <v>18</v>
      </c>
      <c r="M87">
        <v>2</v>
      </c>
    </row>
    <row r="88" spans="1:27" x14ac:dyDescent="0.2">
      <c r="A88">
        <v>2022</v>
      </c>
      <c r="B88" t="s">
        <v>91</v>
      </c>
      <c r="C88">
        <v>1</v>
      </c>
      <c r="D88">
        <v>3.4482758620689655E-2</v>
      </c>
      <c r="E88">
        <v>0</v>
      </c>
      <c r="F88">
        <v>0</v>
      </c>
      <c r="G88">
        <v>0</v>
      </c>
      <c r="H88">
        <v>29</v>
      </c>
      <c r="I88">
        <v>0</v>
      </c>
      <c r="J88">
        <v>2022</v>
      </c>
      <c r="K88">
        <v>2004</v>
      </c>
      <c r="L88">
        <v>18</v>
      </c>
      <c r="M88">
        <v>2</v>
      </c>
    </row>
    <row r="89" spans="1:27" x14ac:dyDescent="0.2">
      <c r="A89">
        <v>2022</v>
      </c>
      <c r="B89" t="s">
        <v>92</v>
      </c>
      <c r="C89">
        <v>1</v>
      </c>
      <c r="D89">
        <v>3.4482758620689655E-2</v>
      </c>
      <c r="E89">
        <v>0</v>
      </c>
      <c r="F89">
        <v>0</v>
      </c>
      <c r="G89">
        <v>0</v>
      </c>
      <c r="H89">
        <v>29</v>
      </c>
      <c r="I89">
        <v>0</v>
      </c>
      <c r="J89">
        <v>2022</v>
      </c>
      <c r="K89">
        <v>2004</v>
      </c>
      <c r="L89">
        <v>18</v>
      </c>
      <c r="M89">
        <v>2</v>
      </c>
    </row>
    <row r="90" spans="1:27" x14ac:dyDescent="0.2">
      <c r="A90">
        <v>2022</v>
      </c>
      <c r="B90" t="s">
        <v>33</v>
      </c>
      <c r="C90">
        <v>1</v>
      </c>
      <c r="D90">
        <v>3.4482758620689655E-2</v>
      </c>
      <c r="E90">
        <v>0</v>
      </c>
      <c r="F90">
        <v>0</v>
      </c>
      <c r="G90">
        <v>0</v>
      </c>
      <c r="H90">
        <v>29</v>
      </c>
      <c r="I90">
        <v>0</v>
      </c>
      <c r="J90">
        <v>2022</v>
      </c>
      <c r="K90">
        <v>1999</v>
      </c>
      <c r="L90">
        <v>23</v>
      </c>
      <c r="M90">
        <v>2</v>
      </c>
    </row>
    <row r="91" spans="1:27" x14ac:dyDescent="0.2">
      <c r="A91">
        <v>2021</v>
      </c>
      <c r="B91" t="s">
        <v>70</v>
      </c>
      <c r="C91">
        <v>11</v>
      </c>
      <c r="D91">
        <v>1</v>
      </c>
      <c r="E91">
        <v>0</v>
      </c>
      <c r="F91">
        <v>0</v>
      </c>
      <c r="G91">
        <v>6</v>
      </c>
      <c r="H91">
        <v>11</v>
      </c>
      <c r="I91">
        <v>0.54545454545454541</v>
      </c>
      <c r="J91">
        <v>2021</v>
      </c>
      <c r="K91">
        <v>1997</v>
      </c>
      <c r="L91">
        <v>24</v>
      </c>
      <c r="M91">
        <v>2</v>
      </c>
    </row>
    <row r="92" spans="1:27" x14ac:dyDescent="0.2">
      <c r="A92">
        <v>2021</v>
      </c>
      <c r="B92" t="s">
        <v>80</v>
      </c>
      <c r="C92">
        <v>11</v>
      </c>
      <c r="D92">
        <v>1</v>
      </c>
      <c r="E92">
        <v>0</v>
      </c>
      <c r="F92">
        <v>0</v>
      </c>
      <c r="G92">
        <v>4</v>
      </c>
      <c r="H92">
        <v>11</v>
      </c>
      <c r="I92">
        <v>0.36363636363636365</v>
      </c>
      <c r="J92">
        <v>2021</v>
      </c>
      <c r="K92">
        <v>2004</v>
      </c>
      <c r="L92">
        <v>17</v>
      </c>
      <c r="M92">
        <v>2</v>
      </c>
    </row>
    <row r="93" spans="1:27" x14ac:dyDescent="0.2">
      <c r="A93">
        <v>2021</v>
      </c>
      <c r="B93" t="s">
        <v>34</v>
      </c>
      <c r="C93">
        <v>11</v>
      </c>
      <c r="D93">
        <v>1</v>
      </c>
      <c r="E93">
        <v>0</v>
      </c>
      <c r="F93">
        <v>0</v>
      </c>
      <c r="G93">
        <v>4</v>
      </c>
      <c r="H93">
        <v>11</v>
      </c>
      <c r="I93">
        <v>0.36363636363636365</v>
      </c>
      <c r="J93">
        <v>2021</v>
      </c>
      <c r="K93">
        <v>1991</v>
      </c>
      <c r="L93">
        <v>30</v>
      </c>
      <c r="M93">
        <v>2</v>
      </c>
    </row>
    <row r="94" spans="1:27" x14ac:dyDescent="0.2">
      <c r="A94">
        <v>2021</v>
      </c>
      <c r="B94" t="s">
        <v>56</v>
      </c>
      <c r="C94">
        <v>11</v>
      </c>
      <c r="D94">
        <v>1</v>
      </c>
      <c r="E94">
        <v>0</v>
      </c>
      <c r="F94">
        <v>0</v>
      </c>
      <c r="G94">
        <v>3</v>
      </c>
      <c r="H94">
        <v>11</v>
      </c>
      <c r="I94">
        <v>0.27272727272727271</v>
      </c>
      <c r="J94">
        <v>2021</v>
      </c>
      <c r="K94">
        <v>2002</v>
      </c>
      <c r="L94">
        <v>19</v>
      </c>
      <c r="M94">
        <v>2</v>
      </c>
    </row>
    <row r="95" spans="1:27" x14ac:dyDescent="0.2">
      <c r="A95">
        <v>2021</v>
      </c>
      <c r="B95" t="s">
        <v>82</v>
      </c>
      <c r="C95">
        <v>11</v>
      </c>
      <c r="D95">
        <v>1</v>
      </c>
      <c r="E95">
        <v>1</v>
      </c>
      <c r="F95">
        <v>0</v>
      </c>
      <c r="G95">
        <v>1</v>
      </c>
      <c r="H95">
        <v>11</v>
      </c>
      <c r="I95">
        <v>9.0909090909090912E-2</v>
      </c>
      <c r="J95">
        <v>2021</v>
      </c>
      <c r="K95">
        <v>1995</v>
      </c>
      <c r="L95">
        <v>26</v>
      </c>
      <c r="M95">
        <v>2</v>
      </c>
    </row>
    <row r="96" spans="1:27" x14ac:dyDescent="0.2">
      <c r="A96">
        <v>2021</v>
      </c>
      <c r="B96" t="s">
        <v>74</v>
      </c>
      <c r="C96">
        <v>11</v>
      </c>
      <c r="D96">
        <v>1</v>
      </c>
      <c r="E96">
        <v>1</v>
      </c>
      <c r="F96">
        <v>0</v>
      </c>
      <c r="G96">
        <v>0</v>
      </c>
      <c r="H96">
        <v>11</v>
      </c>
      <c r="I96">
        <v>0</v>
      </c>
      <c r="J96">
        <v>2021</v>
      </c>
      <c r="K96">
        <v>1996</v>
      </c>
      <c r="L96">
        <v>25</v>
      </c>
      <c r="M96">
        <v>2</v>
      </c>
    </row>
    <row r="97" spans="1:13" x14ac:dyDescent="0.2">
      <c r="A97">
        <v>2021</v>
      </c>
      <c r="B97" t="s">
        <v>71</v>
      </c>
      <c r="C97">
        <v>10</v>
      </c>
      <c r="D97">
        <v>0.90909090909090906</v>
      </c>
      <c r="E97">
        <v>0</v>
      </c>
      <c r="F97">
        <v>0</v>
      </c>
      <c r="G97">
        <v>0</v>
      </c>
      <c r="H97">
        <v>11</v>
      </c>
      <c r="I97">
        <v>0</v>
      </c>
      <c r="J97">
        <v>2021</v>
      </c>
      <c r="K97">
        <v>2004</v>
      </c>
      <c r="L97">
        <v>17</v>
      </c>
      <c r="M97">
        <v>2</v>
      </c>
    </row>
    <row r="98" spans="1:13" x14ac:dyDescent="0.2">
      <c r="A98">
        <v>2021</v>
      </c>
      <c r="B98" t="s">
        <v>75</v>
      </c>
      <c r="C98">
        <v>10</v>
      </c>
      <c r="D98">
        <v>0.90909090909090906</v>
      </c>
      <c r="E98">
        <v>0</v>
      </c>
      <c r="F98">
        <v>0</v>
      </c>
      <c r="G98">
        <v>0</v>
      </c>
      <c r="H98">
        <v>11</v>
      </c>
      <c r="I98">
        <v>0</v>
      </c>
      <c r="J98">
        <v>2021</v>
      </c>
      <c r="K98">
        <v>1999</v>
      </c>
      <c r="L98">
        <v>22</v>
      </c>
      <c r="M98">
        <v>2</v>
      </c>
    </row>
    <row r="99" spans="1:13" x14ac:dyDescent="0.2">
      <c r="A99">
        <v>2021</v>
      </c>
      <c r="B99" t="s">
        <v>33</v>
      </c>
      <c r="C99">
        <v>10</v>
      </c>
      <c r="D99">
        <v>0.90909090909090906</v>
      </c>
      <c r="E99">
        <v>0</v>
      </c>
      <c r="F99">
        <v>0</v>
      </c>
      <c r="G99">
        <v>0</v>
      </c>
      <c r="H99">
        <v>11</v>
      </c>
      <c r="I99">
        <v>0</v>
      </c>
      <c r="J99">
        <v>2021</v>
      </c>
      <c r="K99">
        <v>1999</v>
      </c>
      <c r="L99">
        <v>22</v>
      </c>
      <c r="M99">
        <v>2</v>
      </c>
    </row>
    <row r="100" spans="1:13" x14ac:dyDescent="0.2">
      <c r="A100">
        <v>2021</v>
      </c>
      <c r="B100" t="s">
        <v>93</v>
      </c>
      <c r="C100">
        <v>9</v>
      </c>
      <c r="D100">
        <v>0.81818181818181823</v>
      </c>
      <c r="E100">
        <v>0</v>
      </c>
      <c r="F100">
        <v>0</v>
      </c>
      <c r="G100">
        <v>9</v>
      </c>
      <c r="H100">
        <v>11</v>
      </c>
      <c r="I100">
        <v>1</v>
      </c>
      <c r="J100">
        <v>2021</v>
      </c>
      <c r="K100">
        <v>2001</v>
      </c>
      <c r="L100">
        <v>20</v>
      </c>
      <c r="M100">
        <v>2</v>
      </c>
    </row>
    <row r="101" spans="1:13" x14ac:dyDescent="0.2">
      <c r="A101">
        <v>2021</v>
      </c>
      <c r="B101" t="s">
        <v>86</v>
      </c>
      <c r="C101">
        <v>9</v>
      </c>
      <c r="D101">
        <v>0.81818181818181823</v>
      </c>
      <c r="E101">
        <v>0</v>
      </c>
      <c r="F101">
        <v>0</v>
      </c>
      <c r="G101">
        <v>0</v>
      </c>
      <c r="H101">
        <v>11</v>
      </c>
      <c r="I101">
        <v>0</v>
      </c>
      <c r="J101">
        <v>2021</v>
      </c>
      <c r="K101">
        <v>2003</v>
      </c>
      <c r="L101">
        <v>18</v>
      </c>
      <c r="M101">
        <v>2</v>
      </c>
    </row>
    <row r="102" spans="1:13" x14ac:dyDescent="0.2">
      <c r="A102">
        <v>2021</v>
      </c>
      <c r="B102" t="s">
        <v>69</v>
      </c>
      <c r="C102">
        <v>9</v>
      </c>
      <c r="D102">
        <v>0.81818181818181823</v>
      </c>
      <c r="E102">
        <v>0</v>
      </c>
      <c r="F102">
        <v>0</v>
      </c>
      <c r="G102">
        <v>0</v>
      </c>
      <c r="H102">
        <v>11</v>
      </c>
      <c r="I102">
        <v>0</v>
      </c>
      <c r="J102">
        <v>2021</v>
      </c>
      <c r="K102">
        <v>1996</v>
      </c>
      <c r="L102">
        <v>25</v>
      </c>
      <c r="M102">
        <v>2</v>
      </c>
    </row>
    <row r="103" spans="1:13" x14ac:dyDescent="0.2">
      <c r="A103">
        <v>2021</v>
      </c>
      <c r="B103" t="s">
        <v>50</v>
      </c>
      <c r="C103">
        <v>9</v>
      </c>
      <c r="D103">
        <v>0.81818181818181823</v>
      </c>
      <c r="E103">
        <v>0</v>
      </c>
      <c r="F103">
        <v>0</v>
      </c>
      <c r="G103">
        <v>0</v>
      </c>
      <c r="H103">
        <v>11</v>
      </c>
      <c r="I103">
        <v>0</v>
      </c>
      <c r="J103">
        <v>2021</v>
      </c>
      <c r="K103">
        <v>1993</v>
      </c>
      <c r="L103">
        <v>28</v>
      </c>
      <c r="M103">
        <v>2</v>
      </c>
    </row>
    <row r="104" spans="1:13" x14ac:dyDescent="0.2">
      <c r="A104">
        <v>2021</v>
      </c>
      <c r="B104" t="s">
        <v>84</v>
      </c>
      <c r="C104">
        <v>8</v>
      </c>
      <c r="D104">
        <v>0.72727272727272729</v>
      </c>
      <c r="E104">
        <v>0</v>
      </c>
      <c r="F104">
        <v>0</v>
      </c>
      <c r="G104">
        <v>0</v>
      </c>
      <c r="H104">
        <v>11</v>
      </c>
      <c r="I104">
        <v>0</v>
      </c>
      <c r="J104">
        <v>2021</v>
      </c>
      <c r="K104">
        <v>1997</v>
      </c>
      <c r="L104">
        <v>24</v>
      </c>
      <c r="M104">
        <v>2</v>
      </c>
    </row>
    <row r="105" spans="1:13" x14ac:dyDescent="0.2">
      <c r="A105">
        <v>2021</v>
      </c>
      <c r="B105" t="s">
        <v>79</v>
      </c>
      <c r="C105">
        <v>6</v>
      </c>
      <c r="D105">
        <v>0.54545454545454541</v>
      </c>
      <c r="E105">
        <v>0</v>
      </c>
      <c r="F105">
        <v>0</v>
      </c>
      <c r="G105">
        <v>0</v>
      </c>
      <c r="H105">
        <v>11</v>
      </c>
      <c r="I105">
        <v>0</v>
      </c>
      <c r="J105">
        <v>2021</v>
      </c>
      <c r="K105">
        <v>2004</v>
      </c>
      <c r="L105">
        <v>17</v>
      </c>
      <c r="M105">
        <v>2</v>
      </c>
    </row>
    <row r="106" spans="1:13" x14ac:dyDescent="0.2">
      <c r="A106">
        <v>2021</v>
      </c>
      <c r="B106" t="s">
        <v>94</v>
      </c>
      <c r="C106">
        <v>4</v>
      </c>
      <c r="D106">
        <v>0.36363636363636365</v>
      </c>
      <c r="E106">
        <v>0</v>
      </c>
      <c r="F106">
        <v>0</v>
      </c>
      <c r="G106">
        <v>0</v>
      </c>
      <c r="H106">
        <v>11</v>
      </c>
      <c r="I106">
        <v>0</v>
      </c>
      <c r="J106">
        <v>2021</v>
      </c>
      <c r="K106">
        <v>2001</v>
      </c>
      <c r="L106">
        <v>20</v>
      </c>
      <c r="M106">
        <v>2</v>
      </c>
    </row>
    <row r="107" spans="1:13" x14ac:dyDescent="0.2">
      <c r="A107">
        <v>2021</v>
      </c>
      <c r="B107" t="s">
        <v>95</v>
      </c>
      <c r="C107">
        <v>3</v>
      </c>
      <c r="D107">
        <v>0.27272727272727271</v>
      </c>
      <c r="E107">
        <v>0</v>
      </c>
      <c r="F107">
        <v>0</v>
      </c>
      <c r="G107">
        <v>0</v>
      </c>
      <c r="H107">
        <v>11</v>
      </c>
      <c r="I107">
        <v>0</v>
      </c>
      <c r="J107">
        <v>2021</v>
      </c>
      <c r="K107">
        <v>2005</v>
      </c>
      <c r="L107">
        <v>16</v>
      </c>
      <c r="M107">
        <v>2</v>
      </c>
    </row>
    <row r="108" spans="1:13" x14ac:dyDescent="0.2">
      <c r="A108">
        <v>2021</v>
      </c>
      <c r="B108" t="s">
        <v>81</v>
      </c>
      <c r="C108">
        <v>3</v>
      </c>
      <c r="D108">
        <v>0.27272727272727271</v>
      </c>
      <c r="E108">
        <v>0</v>
      </c>
      <c r="F108">
        <v>0</v>
      </c>
      <c r="G108">
        <v>0</v>
      </c>
      <c r="H108">
        <v>11</v>
      </c>
      <c r="I108">
        <v>0</v>
      </c>
      <c r="J108">
        <v>2021</v>
      </c>
      <c r="K108">
        <v>2004</v>
      </c>
      <c r="L108">
        <v>17</v>
      </c>
      <c r="M108">
        <v>2</v>
      </c>
    </row>
    <row r="109" spans="1:13" x14ac:dyDescent="0.2">
      <c r="A109">
        <v>2021</v>
      </c>
      <c r="B109" t="s">
        <v>96</v>
      </c>
      <c r="C109">
        <v>3</v>
      </c>
      <c r="D109">
        <v>0.27272727272727271</v>
      </c>
      <c r="E109">
        <v>0</v>
      </c>
      <c r="F109">
        <v>0</v>
      </c>
      <c r="G109">
        <v>0</v>
      </c>
      <c r="H109">
        <v>11</v>
      </c>
      <c r="I109">
        <v>0</v>
      </c>
      <c r="J109">
        <v>2021</v>
      </c>
      <c r="K109">
        <v>2001</v>
      </c>
      <c r="L109">
        <v>20</v>
      </c>
      <c r="M109">
        <v>2</v>
      </c>
    </row>
    <row r="110" spans="1:13" x14ac:dyDescent="0.2">
      <c r="A110">
        <v>2021</v>
      </c>
      <c r="B110" t="s">
        <v>64</v>
      </c>
      <c r="C110">
        <v>2</v>
      </c>
      <c r="D110">
        <v>0.18181818181818182</v>
      </c>
      <c r="E110">
        <v>0</v>
      </c>
      <c r="F110">
        <v>0</v>
      </c>
      <c r="G110">
        <v>1</v>
      </c>
      <c r="H110">
        <v>11</v>
      </c>
      <c r="I110">
        <v>0.5</v>
      </c>
      <c r="J110">
        <v>2021</v>
      </c>
      <c r="K110">
        <v>2001</v>
      </c>
      <c r="L110">
        <v>20</v>
      </c>
      <c r="M110">
        <v>2</v>
      </c>
    </row>
    <row r="111" spans="1:13" x14ac:dyDescent="0.2">
      <c r="A111">
        <v>2021</v>
      </c>
      <c r="B111" t="s">
        <v>41</v>
      </c>
      <c r="C111">
        <v>2</v>
      </c>
      <c r="D111">
        <v>0.18181818181818182</v>
      </c>
      <c r="E111">
        <v>0</v>
      </c>
      <c r="F111">
        <v>0</v>
      </c>
      <c r="G111">
        <v>0</v>
      </c>
      <c r="H111">
        <v>11</v>
      </c>
      <c r="I111">
        <v>0</v>
      </c>
      <c r="J111">
        <v>2021</v>
      </c>
      <c r="K111">
        <v>2005</v>
      </c>
      <c r="L111">
        <v>16</v>
      </c>
      <c r="M111">
        <v>2</v>
      </c>
    </row>
    <row r="112" spans="1:13" x14ac:dyDescent="0.2">
      <c r="A112">
        <v>2021</v>
      </c>
      <c r="B112" t="s">
        <v>90</v>
      </c>
      <c r="C112">
        <v>2</v>
      </c>
      <c r="D112">
        <v>0.18181818181818182</v>
      </c>
      <c r="E112">
        <v>0</v>
      </c>
      <c r="F112">
        <v>0</v>
      </c>
      <c r="G112">
        <v>0</v>
      </c>
      <c r="H112">
        <v>11</v>
      </c>
      <c r="I112">
        <v>0</v>
      </c>
      <c r="J112">
        <v>2021</v>
      </c>
      <c r="K112">
        <v>2004</v>
      </c>
      <c r="L112">
        <v>17</v>
      </c>
      <c r="M112">
        <v>2</v>
      </c>
    </row>
    <row r="113" spans="1:13" x14ac:dyDescent="0.2">
      <c r="A113">
        <v>2021</v>
      </c>
      <c r="B113" t="s">
        <v>97</v>
      </c>
      <c r="C113">
        <v>2</v>
      </c>
      <c r="D113">
        <v>0.18181818181818182</v>
      </c>
      <c r="E113">
        <v>0</v>
      </c>
      <c r="F113">
        <v>0</v>
      </c>
      <c r="G113">
        <v>0</v>
      </c>
      <c r="H113">
        <v>11</v>
      </c>
      <c r="I113">
        <v>0</v>
      </c>
      <c r="J113">
        <v>2021</v>
      </c>
      <c r="K113">
        <v>2001</v>
      </c>
      <c r="L113">
        <v>20</v>
      </c>
      <c r="M113">
        <v>2</v>
      </c>
    </row>
    <row r="114" spans="1:13" x14ac:dyDescent="0.2">
      <c r="A114">
        <v>2021</v>
      </c>
      <c r="B114" t="s">
        <v>98</v>
      </c>
      <c r="C114">
        <v>1</v>
      </c>
      <c r="D114">
        <v>9.0909090909090912E-2</v>
      </c>
      <c r="E114">
        <v>0</v>
      </c>
      <c r="F114">
        <v>0</v>
      </c>
      <c r="G114">
        <v>0</v>
      </c>
      <c r="H114">
        <v>11</v>
      </c>
      <c r="I114">
        <v>0</v>
      </c>
      <c r="J114">
        <v>2021</v>
      </c>
      <c r="K114">
        <v>1997</v>
      </c>
      <c r="L114">
        <v>24</v>
      </c>
      <c r="M114">
        <v>2</v>
      </c>
    </row>
    <row r="115" spans="1:13" x14ac:dyDescent="0.2">
      <c r="A115">
        <v>2020</v>
      </c>
      <c r="B115" t="s">
        <v>56</v>
      </c>
      <c r="C115">
        <v>10</v>
      </c>
      <c r="D115">
        <v>1</v>
      </c>
      <c r="E115">
        <v>2</v>
      </c>
      <c r="F115">
        <v>0</v>
      </c>
      <c r="G115">
        <v>1</v>
      </c>
      <c r="H115">
        <v>10</v>
      </c>
      <c r="I115">
        <v>0.1</v>
      </c>
      <c r="J115">
        <v>2020</v>
      </c>
      <c r="K115">
        <v>2002</v>
      </c>
      <c r="L115">
        <v>18</v>
      </c>
      <c r="M115">
        <v>1</v>
      </c>
    </row>
    <row r="116" spans="1:13" x14ac:dyDescent="0.2">
      <c r="A116">
        <v>2020</v>
      </c>
      <c r="B116" t="s">
        <v>99</v>
      </c>
      <c r="C116">
        <v>10</v>
      </c>
      <c r="D116">
        <v>1</v>
      </c>
      <c r="E116">
        <v>1</v>
      </c>
      <c r="F116">
        <v>0</v>
      </c>
      <c r="G116">
        <v>0</v>
      </c>
      <c r="H116">
        <v>10</v>
      </c>
      <c r="I116">
        <v>0</v>
      </c>
      <c r="J116">
        <v>2020</v>
      </c>
      <c r="K116">
        <v>1998</v>
      </c>
      <c r="L116">
        <v>22</v>
      </c>
      <c r="M116">
        <v>1</v>
      </c>
    </row>
    <row r="117" spans="1:13" x14ac:dyDescent="0.2">
      <c r="A117">
        <v>2020</v>
      </c>
      <c r="B117" t="s">
        <v>70</v>
      </c>
      <c r="C117">
        <v>10</v>
      </c>
      <c r="D117">
        <v>1</v>
      </c>
      <c r="E117">
        <v>1</v>
      </c>
      <c r="F117">
        <v>0</v>
      </c>
      <c r="G117">
        <v>0</v>
      </c>
      <c r="H117">
        <v>10</v>
      </c>
      <c r="I117">
        <v>0</v>
      </c>
      <c r="J117">
        <v>2020</v>
      </c>
      <c r="K117">
        <v>1997</v>
      </c>
      <c r="L117">
        <v>23</v>
      </c>
      <c r="M117">
        <v>1</v>
      </c>
    </row>
    <row r="118" spans="1:13" x14ac:dyDescent="0.2">
      <c r="A118">
        <v>2020</v>
      </c>
      <c r="B118" t="s">
        <v>74</v>
      </c>
      <c r="C118">
        <v>10</v>
      </c>
      <c r="D118">
        <v>1</v>
      </c>
      <c r="E118">
        <v>0</v>
      </c>
      <c r="F118">
        <v>0</v>
      </c>
      <c r="G118">
        <v>0</v>
      </c>
      <c r="H118">
        <v>10</v>
      </c>
      <c r="I118">
        <v>0</v>
      </c>
      <c r="J118">
        <v>2020</v>
      </c>
      <c r="K118">
        <v>1996</v>
      </c>
      <c r="L118">
        <v>24</v>
      </c>
      <c r="M118">
        <v>1</v>
      </c>
    </row>
    <row r="119" spans="1:13" x14ac:dyDescent="0.2">
      <c r="A119">
        <v>2020</v>
      </c>
      <c r="B119" t="s">
        <v>83</v>
      </c>
      <c r="C119">
        <v>9</v>
      </c>
      <c r="D119">
        <v>0.9</v>
      </c>
      <c r="E119">
        <v>0</v>
      </c>
      <c r="F119">
        <v>0</v>
      </c>
      <c r="G119">
        <v>6</v>
      </c>
      <c r="H119">
        <v>10</v>
      </c>
      <c r="I119">
        <v>0.66666666666666663</v>
      </c>
      <c r="J119">
        <v>2020</v>
      </c>
      <c r="K119">
        <v>1985</v>
      </c>
      <c r="L119">
        <v>35</v>
      </c>
      <c r="M119">
        <v>1</v>
      </c>
    </row>
    <row r="120" spans="1:13" x14ac:dyDescent="0.2">
      <c r="A120">
        <v>2020</v>
      </c>
      <c r="B120" t="s">
        <v>75</v>
      </c>
      <c r="C120">
        <v>9</v>
      </c>
      <c r="D120">
        <v>0.9</v>
      </c>
      <c r="E120">
        <v>0</v>
      </c>
      <c r="F120">
        <v>0</v>
      </c>
      <c r="G120">
        <v>0</v>
      </c>
      <c r="H120">
        <v>10</v>
      </c>
      <c r="I120">
        <v>0</v>
      </c>
      <c r="J120">
        <v>2020</v>
      </c>
      <c r="K120">
        <v>1999</v>
      </c>
      <c r="L120">
        <v>21</v>
      </c>
      <c r="M120">
        <v>1</v>
      </c>
    </row>
    <row r="121" spans="1:13" x14ac:dyDescent="0.2">
      <c r="A121">
        <v>2020</v>
      </c>
      <c r="B121" t="s">
        <v>69</v>
      </c>
      <c r="C121">
        <v>9</v>
      </c>
      <c r="D121">
        <v>0.9</v>
      </c>
      <c r="E121">
        <v>0</v>
      </c>
      <c r="F121">
        <v>0</v>
      </c>
      <c r="G121">
        <v>0</v>
      </c>
      <c r="H121">
        <v>10</v>
      </c>
      <c r="I121">
        <v>0</v>
      </c>
      <c r="J121">
        <v>2021</v>
      </c>
      <c r="K121">
        <v>1996</v>
      </c>
      <c r="L121">
        <v>24</v>
      </c>
      <c r="M121">
        <v>1</v>
      </c>
    </row>
    <row r="122" spans="1:13" x14ac:dyDescent="0.2">
      <c r="A122">
        <v>2020</v>
      </c>
      <c r="B122" t="s">
        <v>82</v>
      </c>
      <c r="C122">
        <v>9</v>
      </c>
      <c r="D122">
        <v>0.9</v>
      </c>
      <c r="E122">
        <v>1</v>
      </c>
      <c r="F122">
        <v>0</v>
      </c>
      <c r="G122">
        <v>0</v>
      </c>
      <c r="H122">
        <v>10</v>
      </c>
      <c r="I122">
        <v>0</v>
      </c>
      <c r="J122">
        <v>2020</v>
      </c>
      <c r="K122">
        <v>1995</v>
      </c>
      <c r="L122">
        <v>25</v>
      </c>
      <c r="M122">
        <v>1</v>
      </c>
    </row>
    <row r="123" spans="1:13" x14ac:dyDescent="0.2">
      <c r="A123">
        <v>2020</v>
      </c>
      <c r="B123" t="s">
        <v>89</v>
      </c>
      <c r="C123">
        <v>8</v>
      </c>
      <c r="D123">
        <v>0.8</v>
      </c>
      <c r="E123">
        <v>0</v>
      </c>
      <c r="F123">
        <v>0</v>
      </c>
      <c r="G123">
        <v>0</v>
      </c>
      <c r="H123">
        <v>10</v>
      </c>
      <c r="I123">
        <v>0</v>
      </c>
      <c r="J123">
        <v>2020</v>
      </c>
      <c r="K123">
        <v>1991</v>
      </c>
      <c r="L123">
        <v>29</v>
      </c>
      <c r="M123">
        <v>1</v>
      </c>
    </row>
    <row r="124" spans="1:13" x14ac:dyDescent="0.2">
      <c r="A124">
        <v>2020</v>
      </c>
      <c r="B124" t="s">
        <v>64</v>
      </c>
      <c r="C124">
        <v>7</v>
      </c>
      <c r="D124">
        <v>0.7</v>
      </c>
      <c r="E124">
        <v>1</v>
      </c>
      <c r="F124">
        <v>0</v>
      </c>
      <c r="G124">
        <v>1</v>
      </c>
      <c r="H124">
        <v>10</v>
      </c>
      <c r="I124">
        <v>0.14285714285714285</v>
      </c>
      <c r="J124">
        <v>2020</v>
      </c>
      <c r="K124">
        <v>2001</v>
      </c>
      <c r="L124">
        <v>19</v>
      </c>
      <c r="M124">
        <v>1</v>
      </c>
    </row>
    <row r="125" spans="1:13" x14ac:dyDescent="0.2">
      <c r="A125">
        <v>2020</v>
      </c>
      <c r="B125" t="s">
        <v>71</v>
      </c>
      <c r="C125">
        <v>7</v>
      </c>
      <c r="D125">
        <v>0.7</v>
      </c>
      <c r="E125">
        <v>0</v>
      </c>
      <c r="F125">
        <v>0</v>
      </c>
      <c r="G125">
        <v>0</v>
      </c>
      <c r="H125">
        <v>10</v>
      </c>
      <c r="I125">
        <v>0</v>
      </c>
      <c r="J125">
        <v>2020</v>
      </c>
      <c r="K125">
        <v>2004</v>
      </c>
      <c r="L125">
        <v>16</v>
      </c>
      <c r="M125">
        <v>1</v>
      </c>
    </row>
    <row r="126" spans="1:13" x14ac:dyDescent="0.2">
      <c r="A126">
        <v>2020</v>
      </c>
      <c r="B126" t="s">
        <v>100</v>
      </c>
      <c r="C126">
        <v>6</v>
      </c>
      <c r="D126">
        <v>0.6</v>
      </c>
      <c r="E126">
        <v>1</v>
      </c>
      <c r="F126">
        <v>0</v>
      </c>
      <c r="G126">
        <v>0</v>
      </c>
      <c r="H126">
        <v>10</v>
      </c>
      <c r="I126">
        <v>0</v>
      </c>
      <c r="J126">
        <v>2020</v>
      </c>
      <c r="K126">
        <v>1998</v>
      </c>
      <c r="L126">
        <v>22</v>
      </c>
      <c r="M126">
        <v>1</v>
      </c>
    </row>
    <row r="127" spans="1:13" x14ac:dyDescent="0.2">
      <c r="A127">
        <v>2020</v>
      </c>
      <c r="B127" t="s">
        <v>101</v>
      </c>
      <c r="C127">
        <v>6</v>
      </c>
      <c r="D127">
        <v>0.6</v>
      </c>
      <c r="E127">
        <v>0</v>
      </c>
      <c r="F127">
        <v>0</v>
      </c>
      <c r="G127">
        <v>0</v>
      </c>
      <c r="H127">
        <v>10</v>
      </c>
      <c r="I127">
        <v>0</v>
      </c>
      <c r="J127">
        <v>2020</v>
      </c>
      <c r="K127">
        <v>1996</v>
      </c>
      <c r="L127">
        <v>24</v>
      </c>
      <c r="M127">
        <v>1</v>
      </c>
    </row>
    <row r="128" spans="1:13" x14ac:dyDescent="0.2">
      <c r="A128">
        <v>2020</v>
      </c>
      <c r="B128" t="s">
        <v>59</v>
      </c>
      <c r="C128">
        <v>5</v>
      </c>
      <c r="D128">
        <v>0.5</v>
      </c>
      <c r="E128">
        <v>0</v>
      </c>
      <c r="F128">
        <v>0</v>
      </c>
      <c r="G128">
        <v>0</v>
      </c>
      <c r="H128">
        <v>10</v>
      </c>
      <c r="I128">
        <v>0</v>
      </c>
      <c r="J128">
        <v>2020</v>
      </c>
      <c r="K128">
        <v>1989</v>
      </c>
      <c r="L128">
        <v>31</v>
      </c>
      <c r="M128">
        <v>1</v>
      </c>
    </row>
    <row r="129" spans="1:13" x14ac:dyDescent="0.2">
      <c r="A129">
        <v>2020</v>
      </c>
      <c r="B129" t="s">
        <v>102</v>
      </c>
      <c r="C129">
        <v>4</v>
      </c>
      <c r="D129">
        <v>0.4</v>
      </c>
      <c r="E129">
        <v>0</v>
      </c>
      <c r="F129">
        <v>0</v>
      </c>
      <c r="G129">
        <v>0</v>
      </c>
      <c r="H129">
        <v>10</v>
      </c>
      <c r="I129">
        <v>0</v>
      </c>
      <c r="J129">
        <v>2020</v>
      </c>
      <c r="K129">
        <v>2003</v>
      </c>
      <c r="L129">
        <v>17</v>
      </c>
      <c r="M129">
        <v>1</v>
      </c>
    </row>
    <row r="130" spans="1:13" x14ac:dyDescent="0.2">
      <c r="A130">
        <v>2020</v>
      </c>
      <c r="B130" t="s">
        <v>94</v>
      </c>
      <c r="C130">
        <v>4</v>
      </c>
      <c r="D130">
        <v>0.4</v>
      </c>
      <c r="E130">
        <v>0</v>
      </c>
      <c r="F130">
        <v>0</v>
      </c>
      <c r="G130">
        <v>0</v>
      </c>
      <c r="H130">
        <v>10</v>
      </c>
      <c r="I130">
        <v>0</v>
      </c>
      <c r="J130">
        <v>2020</v>
      </c>
      <c r="K130">
        <v>2001</v>
      </c>
      <c r="L130">
        <v>19</v>
      </c>
      <c r="M130">
        <v>1</v>
      </c>
    </row>
    <row r="131" spans="1:13" x14ac:dyDescent="0.2">
      <c r="A131">
        <v>2020</v>
      </c>
      <c r="B131" t="s">
        <v>31</v>
      </c>
      <c r="C131">
        <v>4</v>
      </c>
      <c r="D131">
        <v>0.4</v>
      </c>
      <c r="E131">
        <v>0</v>
      </c>
      <c r="F131">
        <v>0</v>
      </c>
      <c r="G131">
        <v>0</v>
      </c>
      <c r="H131">
        <v>10</v>
      </c>
      <c r="I131">
        <v>0</v>
      </c>
      <c r="J131">
        <v>2020</v>
      </c>
      <c r="K131">
        <v>1985</v>
      </c>
      <c r="L131">
        <v>35</v>
      </c>
      <c r="M131">
        <v>1</v>
      </c>
    </row>
    <row r="132" spans="1:13" x14ac:dyDescent="0.2">
      <c r="A132">
        <v>2020</v>
      </c>
      <c r="B132" t="s">
        <v>79</v>
      </c>
      <c r="C132">
        <v>3</v>
      </c>
      <c r="D132">
        <v>0.3</v>
      </c>
      <c r="E132">
        <v>0</v>
      </c>
      <c r="F132">
        <v>0</v>
      </c>
      <c r="G132">
        <v>0</v>
      </c>
      <c r="H132">
        <v>10</v>
      </c>
      <c r="I132">
        <v>0</v>
      </c>
      <c r="J132">
        <v>2020</v>
      </c>
      <c r="K132">
        <v>2004</v>
      </c>
      <c r="L132">
        <v>16</v>
      </c>
      <c r="M132">
        <v>1</v>
      </c>
    </row>
    <row r="133" spans="1:13" x14ac:dyDescent="0.2">
      <c r="A133">
        <v>2020</v>
      </c>
      <c r="B133" t="s">
        <v>34</v>
      </c>
      <c r="C133">
        <v>2</v>
      </c>
      <c r="D133">
        <v>0.2</v>
      </c>
      <c r="E133">
        <v>1</v>
      </c>
      <c r="F133">
        <v>0</v>
      </c>
      <c r="G133">
        <v>2</v>
      </c>
      <c r="H133">
        <v>10</v>
      </c>
      <c r="I133">
        <v>1</v>
      </c>
      <c r="J133">
        <v>2020</v>
      </c>
      <c r="K133">
        <v>1991</v>
      </c>
      <c r="L133">
        <v>29</v>
      </c>
      <c r="M133">
        <v>1</v>
      </c>
    </row>
    <row r="134" spans="1:13" x14ac:dyDescent="0.2">
      <c r="A134">
        <v>2020</v>
      </c>
      <c r="B134" t="s">
        <v>38</v>
      </c>
      <c r="C134">
        <v>2</v>
      </c>
      <c r="D134">
        <v>0.2</v>
      </c>
      <c r="E134">
        <v>0</v>
      </c>
      <c r="F134">
        <v>0</v>
      </c>
      <c r="G134">
        <v>0</v>
      </c>
      <c r="H134">
        <v>10</v>
      </c>
      <c r="I134">
        <v>0</v>
      </c>
      <c r="J134">
        <v>2020</v>
      </c>
      <c r="K134">
        <v>2006</v>
      </c>
      <c r="L134">
        <v>14</v>
      </c>
      <c r="M134">
        <v>1</v>
      </c>
    </row>
    <row r="135" spans="1:13" x14ac:dyDescent="0.2">
      <c r="A135">
        <v>2020</v>
      </c>
      <c r="B135" t="s">
        <v>80</v>
      </c>
      <c r="C135">
        <v>2</v>
      </c>
      <c r="D135">
        <v>0.2</v>
      </c>
      <c r="E135">
        <v>0</v>
      </c>
      <c r="F135">
        <v>0</v>
      </c>
      <c r="G135">
        <v>0</v>
      </c>
      <c r="H135">
        <v>10</v>
      </c>
      <c r="I135">
        <v>0</v>
      </c>
      <c r="J135">
        <v>2020</v>
      </c>
      <c r="K135">
        <v>2004</v>
      </c>
      <c r="L135">
        <v>16</v>
      </c>
      <c r="M135">
        <v>1</v>
      </c>
    </row>
    <row r="136" spans="1:13" x14ac:dyDescent="0.2">
      <c r="A136">
        <v>2020</v>
      </c>
      <c r="B136" t="s">
        <v>103</v>
      </c>
      <c r="C136">
        <v>1</v>
      </c>
      <c r="D136">
        <v>0.1</v>
      </c>
      <c r="E136">
        <v>0</v>
      </c>
      <c r="F136">
        <v>0</v>
      </c>
      <c r="G136">
        <v>0</v>
      </c>
      <c r="H136">
        <v>10</v>
      </c>
      <c r="I136">
        <v>0</v>
      </c>
      <c r="J136">
        <v>2020</v>
      </c>
      <c r="K136">
        <v>2005</v>
      </c>
      <c r="L136">
        <v>15</v>
      </c>
      <c r="M136">
        <v>1</v>
      </c>
    </row>
    <row r="137" spans="1:13" x14ac:dyDescent="0.2">
      <c r="A137">
        <v>2020</v>
      </c>
      <c r="B137" t="s">
        <v>86</v>
      </c>
      <c r="C137">
        <v>1</v>
      </c>
      <c r="D137">
        <v>0.1</v>
      </c>
      <c r="E137">
        <v>0</v>
      </c>
      <c r="F137">
        <v>0</v>
      </c>
      <c r="G137">
        <v>0</v>
      </c>
      <c r="H137">
        <v>10</v>
      </c>
      <c r="I137">
        <v>0</v>
      </c>
      <c r="J137">
        <v>2020</v>
      </c>
      <c r="K137">
        <v>2003</v>
      </c>
      <c r="L137">
        <v>17</v>
      </c>
      <c r="M137">
        <v>1</v>
      </c>
    </row>
    <row r="138" spans="1:13" x14ac:dyDescent="0.2">
      <c r="A138">
        <v>2020</v>
      </c>
      <c r="B138" t="s">
        <v>104</v>
      </c>
      <c r="C138">
        <v>1</v>
      </c>
      <c r="D138">
        <v>0.1</v>
      </c>
      <c r="E138">
        <v>0</v>
      </c>
      <c r="F138">
        <v>0</v>
      </c>
      <c r="G138">
        <v>0</v>
      </c>
      <c r="H138">
        <v>10</v>
      </c>
      <c r="I138">
        <v>0</v>
      </c>
      <c r="J138">
        <v>2020</v>
      </c>
      <c r="K138">
        <v>2001</v>
      </c>
      <c r="L138">
        <v>19</v>
      </c>
      <c r="M138">
        <v>1</v>
      </c>
    </row>
    <row r="139" spans="1:13" x14ac:dyDescent="0.2">
      <c r="A139">
        <v>2020</v>
      </c>
      <c r="B139" t="s">
        <v>87</v>
      </c>
      <c r="C139">
        <v>1</v>
      </c>
      <c r="D139">
        <v>0.1</v>
      </c>
      <c r="E139">
        <v>0</v>
      </c>
      <c r="F139">
        <v>0</v>
      </c>
      <c r="G139">
        <v>0</v>
      </c>
      <c r="H139">
        <v>10</v>
      </c>
      <c r="I139">
        <v>0</v>
      </c>
      <c r="J139">
        <v>2020</v>
      </c>
      <c r="K139">
        <v>1991</v>
      </c>
      <c r="L139">
        <v>29</v>
      </c>
      <c r="M139">
        <v>1</v>
      </c>
    </row>
    <row r="140" spans="1:13" x14ac:dyDescent="0.2">
      <c r="A140">
        <v>2019</v>
      </c>
      <c r="B140" t="s">
        <v>99</v>
      </c>
      <c r="C140">
        <v>26</v>
      </c>
      <c r="D140">
        <v>1</v>
      </c>
      <c r="E140">
        <v>0</v>
      </c>
      <c r="F140">
        <v>0</v>
      </c>
      <c r="G140">
        <v>4</v>
      </c>
      <c r="H140">
        <v>26</v>
      </c>
      <c r="I140">
        <v>0.15384615384615385</v>
      </c>
      <c r="J140">
        <v>2019</v>
      </c>
      <c r="K140">
        <v>1998</v>
      </c>
      <c r="L140">
        <v>21</v>
      </c>
      <c r="M140">
        <v>2</v>
      </c>
    </row>
    <row r="141" spans="1:13" x14ac:dyDescent="0.2">
      <c r="A141">
        <v>2019</v>
      </c>
      <c r="B141" t="s">
        <v>100</v>
      </c>
      <c r="C141">
        <v>26</v>
      </c>
      <c r="D141">
        <v>1</v>
      </c>
      <c r="E141">
        <v>2</v>
      </c>
      <c r="F141">
        <v>0</v>
      </c>
      <c r="G141">
        <v>1</v>
      </c>
      <c r="H141">
        <v>26</v>
      </c>
      <c r="I141">
        <v>3.8461538461538464E-2</v>
      </c>
      <c r="J141">
        <v>2019</v>
      </c>
      <c r="K141">
        <v>1998</v>
      </c>
      <c r="L141">
        <v>21</v>
      </c>
      <c r="M141">
        <v>2</v>
      </c>
    </row>
    <row r="142" spans="1:13" x14ac:dyDescent="0.2">
      <c r="A142">
        <v>2019</v>
      </c>
      <c r="B142" t="s">
        <v>82</v>
      </c>
      <c r="C142">
        <v>26</v>
      </c>
      <c r="D142">
        <v>1</v>
      </c>
      <c r="E142">
        <v>1</v>
      </c>
      <c r="F142">
        <v>0</v>
      </c>
      <c r="G142">
        <v>1</v>
      </c>
      <c r="H142">
        <v>26</v>
      </c>
      <c r="I142">
        <v>3.8461538461538464E-2</v>
      </c>
      <c r="J142">
        <v>2019</v>
      </c>
      <c r="K142">
        <v>1995</v>
      </c>
      <c r="L142">
        <v>24</v>
      </c>
      <c r="M142">
        <v>2</v>
      </c>
    </row>
    <row r="143" spans="1:13" x14ac:dyDescent="0.2">
      <c r="A143">
        <v>2019</v>
      </c>
      <c r="B143" t="s">
        <v>34</v>
      </c>
      <c r="C143">
        <v>25</v>
      </c>
      <c r="D143">
        <v>0.96153846153846156</v>
      </c>
      <c r="E143">
        <v>1</v>
      </c>
      <c r="F143">
        <v>0</v>
      </c>
      <c r="G143">
        <v>19</v>
      </c>
      <c r="H143">
        <v>26</v>
      </c>
      <c r="I143">
        <v>0.76</v>
      </c>
      <c r="J143">
        <v>2019</v>
      </c>
      <c r="K143">
        <v>1991</v>
      </c>
      <c r="L143">
        <v>28</v>
      </c>
      <c r="M143">
        <v>2</v>
      </c>
    </row>
    <row r="144" spans="1:13" x14ac:dyDescent="0.2">
      <c r="A144">
        <v>2019</v>
      </c>
      <c r="B144" t="s">
        <v>56</v>
      </c>
      <c r="C144">
        <v>25</v>
      </c>
      <c r="D144">
        <v>0.96153846153846156</v>
      </c>
      <c r="E144">
        <v>0</v>
      </c>
      <c r="F144">
        <v>0</v>
      </c>
      <c r="G144">
        <v>7</v>
      </c>
      <c r="H144">
        <v>26</v>
      </c>
      <c r="I144">
        <v>0.28000000000000003</v>
      </c>
      <c r="J144">
        <v>2019</v>
      </c>
      <c r="K144">
        <v>2002</v>
      </c>
      <c r="L144">
        <v>17</v>
      </c>
      <c r="M144">
        <v>2</v>
      </c>
    </row>
    <row r="145" spans="1:13" x14ac:dyDescent="0.2">
      <c r="A145">
        <v>2019</v>
      </c>
      <c r="B145" t="s">
        <v>69</v>
      </c>
      <c r="C145">
        <v>25</v>
      </c>
      <c r="D145">
        <v>0.96153846153846156</v>
      </c>
      <c r="E145">
        <v>0</v>
      </c>
      <c r="F145">
        <v>0</v>
      </c>
      <c r="G145">
        <v>7</v>
      </c>
      <c r="H145">
        <v>26</v>
      </c>
      <c r="I145">
        <v>0.28000000000000003</v>
      </c>
      <c r="J145">
        <v>2019</v>
      </c>
      <c r="K145">
        <v>1996</v>
      </c>
      <c r="L145">
        <v>23</v>
      </c>
      <c r="M145">
        <v>2</v>
      </c>
    </row>
    <row r="146" spans="1:13" x14ac:dyDescent="0.2">
      <c r="A146">
        <v>2019</v>
      </c>
      <c r="B146" t="s">
        <v>74</v>
      </c>
      <c r="C146">
        <v>25</v>
      </c>
      <c r="D146">
        <v>0.96153846153846156</v>
      </c>
      <c r="E146">
        <v>0</v>
      </c>
      <c r="F146">
        <v>0</v>
      </c>
      <c r="G146">
        <v>0</v>
      </c>
      <c r="H146">
        <v>26</v>
      </c>
      <c r="I146">
        <v>0</v>
      </c>
      <c r="J146">
        <v>2019</v>
      </c>
      <c r="K146">
        <v>1996</v>
      </c>
      <c r="L146">
        <v>23</v>
      </c>
      <c r="M146">
        <v>2</v>
      </c>
    </row>
    <row r="147" spans="1:13" x14ac:dyDescent="0.2">
      <c r="A147">
        <v>2019</v>
      </c>
      <c r="B147" t="s">
        <v>59</v>
      </c>
      <c r="C147">
        <v>24</v>
      </c>
      <c r="D147">
        <v>0.92307692307692313</v>
      </c>
      <c r="E147">
        <v>0</v>
      </c>
      <c r="F147">
        <v>0</v>
      </c>
      <c r="G147">
        <v>1</v>
      </c>
      <c r="H147">
        <v>26</v>
      </c>
      <c r="I147">
        <v>4.1666666666666664E-2</v>
      </c>
      <c r="J147">
        <v>2019</v>
      </c>
      <c r="K147">
        <v>1989</v>
      </c>
      <c r="L147">
        <v>30</v>
      </c>
      <c r="M147">
        <v>2</v>
      </c>
    </row>
    <row r="148" spans="1:13" x14ac:dyDescent="0.2">
      <c r="A148">
        <v>2019</v>
      </c>
      <c r="B148" t="s">
        <v>83</v>
      </c>
      <c r="C148">
        <v>22</v>
      </c>
      <c r="D148">
        <v>0.84615384615384615</v>
      </c>
      <c r="E148">
        <v>1</v>
      </c>
      <c r="F148">
        <v>0</v>
      </c>
      <c r="G148">
        <v>42</v>
      </c>
      <c r="H148">
        <v>26</v>
      </c>
      <c r="I148">
        <v>1.9090909090909092</v>
      </c>
      <c r="J148">
        <v>2019</v>
      </c>
      <c r="K148">
        <v>1985</v>
      </c>
      <c r="L148">
        <v>34</v>
      </c>
      <c r="M148">
        <v>2</v>
      </c>
    </row>
    <row r="149" spans="1:13" x14ac:dyDescent="0.2">
      <c r="A149">
        <v>2019</v>
      </c>
      <c r="B149" t="s">
        <v>105</v>
      </c>
      <c r="C149">
        <v>22</v>
      </c>
      <c r="D149">
        <v>0.84615384615384615</v>
      </c>
      <c r="E149">
        <v>4</v>
      </c>
      <c r="F149">
        <v>0</v>
      </c>
      <c r="G149">
        <v>13</v>
      </c>
      <c r="H149">
        <v>26</v>
      </c>
      <c r="I149">
        <v>0.59090909090909094</v>
      </c>
      <c r="J149">
        <v>2019</v>
      </c>
      <c r="K149">
        <v>1985</v>
      </c>
      <c r="L149">
        <v>34</v>
      </c>
      <c r="M149">
        <v>2</v>
      </c>
    </row>
    <row r="150" spans="1:13" x14ac:dyDescent="0.2">
      <c r="A150">
        <v>2019</v>
      </c>
      <c r="B150" t="s">
        <v>89</v>
      </c>
      <c r="C150">
        <v>21</v>
      </c>
      <c r="D150">
        <v>0.80769230769230771</v>
      </c>
      <c r="E150">
        <v>0</v>
      </c>
      <c r="F150">
        <v>0</v>
      </c>
      <c r="G150">
        <v>5</v>
      </c>
      <c r="H150">
        <v>26</v>
      </c>
      <c r="I150">
        <v>0.23809523809523808</v>
      </c>
      <c r="J150">
        <v>2019</v>
      </c>
      <c r="K150">
        <v>1991</v>
      </c>
      <c r="L150">
        <v>28</v>
      </c>
      <c r="M150">
        <v>2</v>
      </c>
    </row>
    <row r="151" spans="1:13" x14ac:dyDescent="0.2">
      <c r="A151">
        <v>2019</v>
      </c>
      <c r="B151" t="s">
        <v>101</v>
      </c>
      <c r="C151">
        <v>21</v>
      </c>
      <c r="D151">
        <v>0.80769230769230771</v>
      </c>
      <c r="E151">
        <v>0</v>
      </c>
      <c r="F151">
        <v>0</v>
      </c>
      <c r="G151">
        <v>0</v>
      </c>
      <c r="H151">
        <v>26</v>
      </c>
      <c r="I151">
        <v>0</v>
      </c>
      <c r="J151">
        <v>2019</v>
      </c>
      <c r="K151">
        <v>1996</v>
      </c>
      <c r="L151">
        <v>23</v>
      </c>
      <c r="M151">
        <v>2</v>
      </c>
    </row>
    <row r="152" spans="1:13" x14ac:dyDescent="0.2">
      <c r="A152">
        <v>2019</v>
      </c>
      <c r="B152" t="s">
        <v>106</v>
      </c>
      <c r="C152">
        <v>19</v>
      </c>
      <c r="D152">
        <v>0.73076923076923073</v>
      </c>
      <c r="E152">
        <v>0</v>
      </c>
      <c r="F152">
        <v>0</v>
      </c>
      <c r="G152">
        <v>8</v>
      </c>
      <c r="H152">
        <v>26</v>
      </c>
      <c r="I152">
        <v>0.42105263157894735</v>
      </c>
      <c r="J152">
        <v>2019</v>
      </c>
      <c r="K152">
        <v>1998</v>
      </c>
      <c r="L152">
        <v>21</v>
      </c>
      <c r="M152">
        <v>2</v>
      </c>
    </row>
    <row r="153" spans="1:13" x14ac:dyDescent="0.2">
      <c r="A153">
        <v>2019</v>
      </c>
      <c r="B153" t="s">
        <v>107</v>
      </c>
      <c r="C153">
        <v>17</v>
      </c>
      <c r="D153">
        <v>0.65384615384615385</v>
      </c>
      <c r="E153">
        <v>0</v>
      </c>
      <c r="F153">
        <v>0</v>
      </c>
      <c r="G153">
        <v>13</v>
      </c>
      <c r="H153">
        <v>26</v>
      </c>
      <c r="I153">
        <v>0.76470588235294112</v>
      </c>
      <c r="J153">
        <v>2019</v>
      </c>
      <c r="K153">
        <v>1990</v>
      </c>
      <c r="L153">
        <v>29</v>
      </c>
      <c r="M153">
        <v>2</v>
      </c>
    </row>
    <row r="154" spans="1:13" x14ac:dyDescent="0.2">
      <c r="A154">
        <v>2019</v>
      </c>
      <c r="B154" t="s">
        <v>108</v>
      </c>
      <c r="C154">
        <v>17</v>
      </c>
      <c r="D154">
        <v>0.65384615384615385</v>
      </c>
      <c r="E154">
        <v>1</v>
      </c>
      <c r="F154">
        <v>0</v>
      </c>
      <c r="G154">
        <v>0</v>
      </c>
      <c r="H154">
        <v>26</v>
      </c>
      <c r="I154">
        <v>0</v>
      </c>
      <c r="J154">
        <v>2019</v>
      </c>
      <c r="K154">
        <v>2000</v>
      </c>
      <c r="L154">
        <v>19</v>
      </c>
      <c r="M154">
        <v>2</v>
      </c>
    </row>
    <row r="155" spans="1:13" x14ac:dyDescent="0.2">
      <c r="A155">
        <v>2019</v>
      </c>
      <c r="B155" t="s">
        <v>71</v>
      </c>
      <c r="C155">
        <v>10</v>
      </c>
      <c r="D155">
        <v>0.38461538461538464</v>
      </c>
      <c r="E155">
        <v>0</v>
      </c>
      <c r="F155">
        <v>0</v>
      </c>
      <c r="G155">
        <v>0</v>
      </c>
      <c r="H155">
        <v>26</v>
      </c>
      <c r="I155">
        <v>0</v>
      </c>
      <c r="J155">
        <v>2019</v>
      </c>
      <c r="K155">
        <v>2004</v>
      </c>
      <c r="L155">
        <v>15</v>
      </c>
      <c r="M155">
        <v>2</v>
      </c>
    </row>
    <row r="156" spans="1:13" x14ac:dyDescent="0.2">
      <c r="A156">
        <v>2019</v>
      </c>
      <c r="B156" t="s">
        <v>102</v>
      </c>
      <c r="C156">
        <v>9</v>
      </c>
      <c r="D156">
        <v>0.34615384615384615</v>
      </c>
      <c r="E156">
        <v>0</v>
      </c>
      <c r="F156">
        <v>0</v>
      </c>
      <c r="G156">
        <v>0</v>
      </c>
      <c r="H156">
        <v>26</v>
      </c>
      <c r="I156">
        <v>0</v>
      </c>
      <c r="J156">
        <v>2019</v>
      </c>
      <c r="K156">
        <v>2003</v>
      </c>
      <c r="L156">
        <v>16</v>
      </c>
      <c r="M156">
        <v>2</v>
      </c>
    </row>
    <row r="157" spans="1:13" x14ac:dyDescent="0.2">
      <c r="A157">
        <v>2019</v>
      </c>
      <c r="B157" t="s">
        <v>86</v>
      </c>
      <c r="C157">
        <v>8</v>
      </c>
      <c r="D157">
        <v>0.30769230769230771</v>
      </c>
      <c r="E157">
        <v>0</v>
      </c>
      <c r="F157">
        <v>0</v>
      </c>
      <c r="G157">
        <v>1</v>
      </c>
      <c r="H157">
        <v>26</v>
      </c>
      <c r="I157">
        <v>0.125</v>
      </c>
      <c r="J157">
        <v>2019</v>
      </c>
      <c r="K157">
        <v>2003</v>
      </c>
      <c r="L157">
        <v>16</v>
      </c>
      <c r="M157">
        <v>2</v>
      </c>
    </row>
    <row r="158" spans="1:13" x14ac:dyDescent="0.2">
      <c r="A158">
        <v>2019</v>
      </c>
      <c r="B158" t="s">
        <v>109</v>
      </c>
      <c r="C158">
        <v>7</v>
      </c>
      <c r="D158">
        <v>0.26923076923076922</v>
      </c>
      <c r="E158">
        <v>0</v>
      </c>
      <c r="F158">
        <v>0</v>
      </c>
      <c r="G158">
        <v>0</v>
      </c>
      <c r="H158">
        <v>26</v>
      </c>
      <c r="I158">
        <v>0</v>
      </c>
      <c r="J158">
        <v>2019</v>
      </c>
      <c r="K158">
        <v>1989</v>
      </c>
      <c r="L158">
        <v>30</v>
      </c>
      <c r="M158">
        <v>2</v>
      </c>
    </row>
    <row r="159" spans="1:13" x14ac:dyDescent="0.2">
      <c r="A159">
        <v>2019</v>
      </c>
      <c r="B159" t="s">
        <v>80</v>
      </c>
      <c r="C159">
        <v>6</v>
      </c>
      <c r="D159">
        <v>0.23076923076923078</v>
      </c>
      <c r="E159">
        <v>0</v>
      </c>
      <c r="F159">
        <v>0</v>
      </c>
      <c r="G159">
        <v>0</v>
      </c>
      <c r="H159">
        <v>26</v>
      </c>
      <c r="I159">
        <v>0</v>
      </c>
      <c r="J159">
        <v>2019</v>
      </c>
      <c r="K159">
        <v>2004</v>
      </c>
      <c r="L159">
        <v>15</v>
      </c>
      <c r="M159">
        <v>2</v>
      </c>
    </row>
    <row r="160" spans="1:13" x14ac:dyDescent="0.2">
      <c r="A160">
        <v>2019</v>
      </c>
      <c r="B160" t="s">
        <v>110</v>
      </c>
      <c r="C160">
        <v>2</v>
      </c>
      <c r="D160">
        <v>7.6923076923076927E-2</v>
      </c>
      <c r="E160">
        <v>0</v>
      </c>
      <c r="F160">
        <v>0</v>
      </c>
      <c r="G160">
        <v>0</v>
      </c>
      <c r="H160">
        <v>26</v>
      </c>
      <c r="I160">
        <v>0</v>
      </c>
      <c r="J160">
        <v>2019</v>
      </c>
      <c r="K160">
        <v>1978</v>
      </c>
      <c r="L160">
        <v>41</v>
      </c>
      <c r="M160">
        <v>2</v>
      </c>
    </row>
    <row r="161" spans="1:13" x14ac:dyDescent="0.2">
      <c r="A161">
        <v>2018</v>
      </c>
      <c r="B161" t="s">
        <v>105</v>
      </c>
      <c r="C161">
        <v>18</v>
      </c>
      <c r="D161">
        <v>1</v>
      </c>
      <c r="E161">
        <v>2</v>
      </c>
      <c r="F161">
        <v>0</v>
      </c>
      <c r="G161">
        <v>30</v>
      </c>
      <c r="H161">
        <v>18</v>
      </c>
      <c r="I161">
        <v>1.6666666666666667</v>
      </c>
      <c r="J161">
        <v>2018</v>
      </c>
      <c r="K161">
        <v>1985</v>
      </c>
      <c r="L161">
        <v>33</v>
      </c>
      <c r="M161">
        <v>2</v>
      </c>
    </row>
    <row r="162" spans="1:13" x14ac:dyDescent="0.2">
      <c r="A162">
        <v>2018</v>
      </c>
      <c r="B162" t="s">
        <v>34</v>
      </c>
      <c r="C162">
        <v>18</v>
      </c>
      <c r="D162">
        <v>1</v>
      </c>
      <c r="E162">
        <v>0</v>
      </c>
      <c r="F162">
        <v>0</v>
      </c>
      <c r="G162">
        <v>10</v>
      </c>
      <c r="H162">
        <v>18</v>
      </c>
      <c r="I162">
        <v>0.55555555555555558</v>
      </c>
      <c r="J162">
        <v>2018</v>
      </c>
      <c r="K162">
        <v>1991</v>
      </c>
      <c r="L162">
        <v>27</v>
      </c>
      <c r="M162">
        <v>2</v>
      </c>
    </row>
    <row r="163" spans="1:13" x14ac:dyDescent="0.2">
      <c r="A163">
        <v>2018</v>
      </c>
      <c r="B163" t="s">
        <v>89</v>
      </c>
      <c r="C163">
        <v>18</v>
      </c>
      <c r="D163">
        <v>1</v>
      </c>
      <c r="E163">
        <v>0</v>
      </c>
      <c r="F163">
        <v>0</v>
      </c>
      <c r="G163">
        <v>3</v>
      </c>
      <c r="H163">
        <v>18</v>
      </c>
      <c r="I163">
        <v>0.16666666666666666</v>
      </c>
      <c r="J163">
        <v>2018</v>
      </c>
      <c r="K163">
        <v>1991</v>
      </c>
      <c r="L163">
        <v>27</v>
      </c>
      <c r="M163">
        <v>2</v>
      </c>
    </row>
    <row r="164" spans="1:13" x14ac:dyDescent="0.2">
      <c r="A164">
        <v>2018</v>
      </c>
      <c r="B164" t="s">
        <v>56</v>
      </c>
      <c r="C164">
        <v>17</v>
      </c>
      <c r="D164">
        <v>0.94444444444444442</v>
      </c>
      <c r="E164">
        <v>0</v>
      </c>
      <c r="F164">
        <v>0</v>
      </c>
      <c r="G164">
        <v>5</v>
      </c>
      <c r="H164">
        <v>18</v>
      </c>
      <c r="I164">
        <v>0.29411764705882354</v>
      </c>
      <c r="J164">
        <v>2018</v>
      </c>
      <c r="K164">
        <v>2002</v>
      </c>
      <c r="L164">
        <v>16</v>
      </c>
      <c r="M164">
        <v>2</v>
      </c>
    </row>
    <row r="165" spans="1:13" x14ac:dyDescent="0.2">
      <c r="A165">
        <v>2018</v>
      </c>
      <c r="B165" t="s">
        <v>69</v>
      </c>
      <c r="C165">
        <v>17</v>
      </c>
      <c r="D165">
        <v>0.94444444444444442</v>
      </c>
      <c r="E165">
        <v>0</v>
      </c>
      <c r="F165">
        <v>0</v>
      </c>
      <c r="G165">
        <v>3</v>
      </c>
      <c r="H165">
        <v>18</v>
      </c>
      <c r="I165">
        <v>0.17647058823529413</v>
      </c>
      <c r="J165">
        <v>2018</v>
      </c>
      <c r="K165">
        <v>1996</v>
      </c>
      <c r="L165">
        <v>22</v>
      </c>
      <c r="M165">
        <v>2</v>
      </c>
    </row>
    <row r="166" spans="1:13" x14ac:dyDescent="0.2">
      <c r="A166">
        <v>2018</v>
      </c>
      <c r="B166" t="s">
        <v>82</v>
      </c>
      <c r="C166">
        <v>17</v>
      </c>
      <c r="D166">
        <v>0.94444444444444442</v>
      </c>
      <c r="E166">
        <v>0</v>
      </c>
      <c r="F166">
        <v>0</v>
      </c>
      <c r="G166">
        <v>3</v>
      </c>
      <c r="H166">
        <v>18</v>
      </c>
      <c r="I166">
        <v>0.17647058823529413</v>
      </c>
      <c r="J166">
        <v>2018</v>
      </c>
      <c r="K166">
        <v>1995</v>
      </c>
      <c r="L166">
        <v>23</v>
      </c>
      <c r="M166">
        <v>2</v>
      </c>
    </row>
    <row r="167" spans="1:13" x14ac:dyDescent="0.2">
      <c r="A167">
        <v>2018</v>
      </c>
      <c r="B167" t="s">
        <v>111</v>
      </c>
      <c r="C167">
        <v>17</v>
      </c>
      <c r="D167">
        <v>0.94444444444444442</v>
      </c>
      <c r="E167">
        <v>0</v>
      </c>
      <c r="F167">
        <v>0</v>
      </c>
      <c r="G167">
        <v>1</v>
      </c>
      <c r="H167">
        <v>18</v>
      </c>
      <c r="I167">
        <v>5.8823529411764705E-2</v>
      </c>
      <c r="J167">
        <v>2018</v>
      </c>
      <c r="K167">
        <v>1995</v>
      </c>
      <c r="L167">
        <v>23</v>
      </c>
      <c r="M167">
        <v>2</v>
      </c>
    </row>
    <row r="168" spans="1:13" x14ac:dyDescent="0.2">
      <c r="A168">
        <v>2018</v>
      </c>
      <c r="B168" t="s">
        <v>74</v>
      </c>
      <c r="C168">
        <v>17</v>
      </c>
      <c r="D168">
        <v>0.94444444444444442</v>
      </c>
      <c r="E168">
        <v>0</v>
      </c>
      <c r="F168">
        <v>0</v>
      </c>
      <c r="G168">
        <v>0</v>
      </c>
      <c r="H168">
        <v>18</v>
      </c>
      <c r="I168">
        <v>0</v>
      </c>
      <c r="J168">
        <v>2018</v>
      </c>
      <c r="K168">
        <v>1996</v>
      </c>
      <c r="L168">
        <v>22</v>
      </c>
      <c r="M168">
        <v>2</v>
      </c>
    </row>
    <row r="169" spans="1:13" x14ac:dyDescent="0.2">
      <c r="A169">
        <v>2018</v>
      </c>
      <c r="B169" t="s">
        <v>59</v>
      </c>
      <c r="C169">
        <v>17</v>
      </c>
      <c r="D169">
        <v>0.94444444444444442</v>
      </c>
      <c r="E169">
        <v>0</v>
      </c>
      <c r="F169">
        <v>0</v>
      </c>
      <c r="G169">
        <v>0</v>
      </c>
      <c r="H169">
        <v>18</v>
      </c>
      <c r="I169">
        <v>0</v>
      </c>
      <c r="J169">
        <v>2018</v>
      </c>
      <c r="K169">
        <v>1989</v>
      </c>
      <c r="L169">
        <v>29</v>
      </c>
      <c r="M169">
        <v>2</v>
      </c>
    </row>
    <row r="170" spans="1:13" x14ac:dyDescent="0.2">
      <c r="A170">
        <v>2018</v>
      </c>
      <c r="B170" t="s">
        <v>31</v>
      </c>
      <c r="C170">
        <v>17</v>
      </c>
      <c r="D170">
        <v>0.94444444444444442</v>
      </c>
      <c r="E170">
        <v>0</v>
      </c>
      <c r="F170">
        <v>0</v>
      </c>
      <c r="G170">
        <v>0</v>
      </c>
      <c r="H170">
        <v>18</v>
      </c>
      <c r="I170">
        <v>0</v>
      </c>
      <c r="J170">
        <v>2018</v>
      </c>
      <c r="K170">
        <v>1985</v>
      </c>
      <c r="L170">
        <v>33</v>
      </c>
      <c r="M170">
        <v>2</v>
      </c>
    </row>
    <row r="171" spans="1:13" x14ac:dyDescent="0.2">
      <c r="A171">
        <v>2018</v>
      </c>
      <c r="B171" t="s">
        <v>112</v>
      </c>
      <c r="C171">
        <v>16</v>
      </c>
      <c r="D171">
        <v>0.88888888888888884</v>
      </c>
      <c r="E171">
        <v>1</v>
      </c>
      <c r="F171">
        <v>0</v>
      </c>
      <c r="G171">
        <v>8</v>
      </c>
      <c r="H171">
        <v>18</v>
      </c>
      <c r="I171">
        <v>0.5</v>
      </c>
      <c r="J171">
        <v>2018</v>
      </c>
      <c r="K171">
        <v>1992</v>
      </c>
      <c r="L171">
        <v>26</v>
      </c>
      <c r="M171">
        <v>2</v>
      </c>
    </row>
    <row r="172" spans="1:13" x14ac:dyDescent="0.2">
      <c r="A172">
        <v>2018</v>
      </c>
      <c r="B172" t="s">
        <v>100</v>
      </c>
      <c r="C172">
        <v>14</v>
      </c>
      <c r="D172">
        <v>0.77777777777777779</v>
      </c>
      <c r="E172">
        <v>2</v>
      </c>
      <c r="F172">
        <v>0</v>
      </c>
      <c r="G172">
        <v>2</v>
      </c>
      <c r="H172">
        <v>18</v>
      </c>
      <c r="I172">
        <v>0.14285714285714285</v>
      </c>
      <c r="J172">
        <v>2018</v>
      </c>
      <c r="K172">
        <v>1998</v>
      </c>
      <c r="L172">
        <v>20</v>
      </c>
      <c r="M172">
        <v>2</v>
      </c>
    </row>
    <row r="173" spans="1:13" x14ac:dyDescent="0.2">
      <c r="A173">
        <v>2018</v>
      </c>
      <c r="B173" t="s">
        <v>101</v>
      </c>
      <c r="C173">
        <v>13</v>
      </c>
      <c r="D173">
        <v>0.72222222222222221</v>
      </c>
      <c r="E173">
        <v>0</v>
      </c>
      <c r="F173">
        <v>0</v>
      </c>
      <c r="G173">
        <v>2</v>
      </c>
      <c r="H173">
        <v>18</v>
      </c>
      <c r="I173">
        <v>0.15384615384615385</v>
      </c>
      <c r="J173">
        <v>2018</v>
      </c>
      <c r="K173">
        <v>1996</v>
      </c>
      <c r="L173">
        <v>22</v>
      </c>
      <c r="M173">
        <v>2</v>
      </c>
    </row>
    <row r="174" spans="1:13" x14ac:dyDescent="0.2">
      <c r="A174">
        <v>2018</v>
      </c>
      <c r="B174" t="s">
        <v>108</v>
      </c>
      <c r="C174">
        <v>13</v>
      </c>
      <c r="D174">
        <v>0.72222222222222221</v>
      </c>
      <c r="E174">
        <v>0</v>
      </c>
      <c r="F174">
        <v>0</v>
      </c>
      <c r="G174">
        <v>0</v>
      </c>
      <c r="H174">
        <v>18</v>
      </c>
      <c r="I174">
        <v>0</v>
      </c>
      <c r="J174">
        <v>2018</v>
      </c>
      <c r="K174">
        <v>2000</v>
      </c>
      <c r="L174">
        <v>18</v>
      </c>
      <c r="M174">
        <v>2</v>
      </c>
    </row>
    <row r="175" spans="1:13" x14ac:dyDescent="0.2">
      <c r="A175">
        <v>2018</v>
      </c>
      <c r="B175" t="s">
        <v>109</v>
      </c>
      <c r="C175">
        <v>12</v>
      </c>
      <c r="D175">
        <v>0.66666666666666663</v>
      </c>
      <c r="E175">
        <v>1</v>
      </c>
      <c r="F175">
        <v>0</v>
      </c>
      <c r="G175">
        <v>0</v>
      </c>
      <c r="H175">
        <v>18</v>
      </c>
      <c r="I175">
        <v>0</v>
      </c>
      <c r="J175">
        <v>2018</v>
      </c>
      <c r="K175">
        <v>1989</v>
      </c>
      <c r="L175">
        <v>29</v>
      </c>
      <c r="M175">
        <v>2</v>
      </c>
    </row>
    <row r="176" spans="1:13" x14ac:dyDescent="0.2">
      <c r="A176">
        <v>2018</v>
      </c>
      <c r="B176" t="s">
        <v>113</v>
      </c>
      <c r="C176">
        <v>11</v>
      </c>
      <c r="D176">
        <v>0.61111111111111116</v>
      </c>
      <c r="E176">
        <v>1</v>
      </c>
      <c r="F176">
        <v>0</v>
      </c>
      <c r="G176">
        <v>0</v>
      </c>
      <c r="H176">
        <v>18</v>
      </c>
      <c r="I176">
        <v>0</v>
      </c>
      <c r="J176">
        <v>2018</v>
      </c>
      <c r="K176">
        <v>1994</v>
      </c>
      <c r="L176">
        <v>24</v>
      </c>
      <c r="M176">
        <v>2</v>
      </c>
    </row>
    <row r="177" spans="1:13" x14ac:dyDescent="0.2">
      <c r="A177">
        <v>2018</v>
      </c>
      <c r="B177" t="s">
        <v>85</v>
      </c>
      <c r="C177">
        <v>8</v>
      </c>
      <c r="D177">
        <v>0.44444444444444442</v>
      </c>
      <c r="E177">
        <v>1</v>
      </c>
      <c r="F177">
        <v>0</v>
      </c>
      <c r="G177">
        <v>5</v>
      </c>
      <c r="H177">
        <v>18</v>
      </c>
      <c r="I177">
        <v>0.625</v>
      </c>
      <c r="J177">
        <v>2018</v>
      </c>
      <c r="K177">
        <v>2000</v>
      </c>
      <c r="L177">
        <v>18</v>
      </c>
      <c r="M177">
        <v>2</v>
      </c>
    </row>
    <row r="178" spans="1:13" x14ac:dyDescent="0.2">
      <c r="A178">
        <v>2018</v>
      </c>
      <c r="B178" t="s">
        <v>114</v>
      </c>
      <c r="C178">
        <v>8</v>
      </c>
      <c r="D178">
        <v>0.44444444444444442</v>
      </c>
      <c r="E178">
        <v>1</v>
      </c>
      <c r="F178">
        <v>0</v>
      </c>
      <c r="G178">
        <v>1</v>
      </c>
      <c r="H178">
        <v>18</v>
      </c>
      <c r="I178">
        <v>0.125</v>
      </c>
      <c r="J178">
        <v>2018</v>
      </c>
      <c r="K178">
        <v>1990</v>
      </c>
      <c r="L178">
        <v>28</v>
      </c>
      <c r="M178">
        <v>2</v>
      </c>
    </row>
    <row r="179" spans="1:13" x14ac:dyDescent="0.2">
      <c r="A179">
        <v>2018</v>
      </c>
      <c r="B179" t="s">
        <v>66</v>
      </c>
      <c r="C179">
        <v>8</v>
      </c>
      <c r="D179">
        <v>0.44444444444444442</v>
      </c>
      <c r="E179">
        <v>1</v>
      </c>
      <c r="F179">
        <v>0</v>
      </c>
      <c r="G179">
        <v>0</v>
      </c>
      <c r="H179">
        <v>18</v>
      </c>
      <c r="I179">
        <v>0</v>
      </c>
      <c r="J179">
        <v>2018</v>
      </c>
      <c r="K179">
        <v>1997</v>
      </c>
      <c r="L179">
        <v>21</v>
      </c>
      <c r="M179">
        <v>2</v>
      </c>
    </row>
    <row r="180" spans="1:13" x14ac:dyDescent="0.2">
      <c r="A180">
        <v>2018</v>
      </c>
      <c r="B180" t="s">
        <v>115</v>
      </c>
      <c r="C180">
        <v>4</v>
      </c>
      <c r="D180">
        <v>0.22222222222222221</v>
      </c>
      <c r="E180">
        <v>0</v>
      </c>
      <c r="F180">
        <v>0</v>
      </c>
      <c r="G180">
        <v>0</v>
      </c>
      <c r="H180">
        <v>18</v>
      </c>
      <c r="I180">
        <v>0</v>
      </c>
      <c r="J180">
        <v>2018</v>
      </c>
      <c r="K180">
        <v>1999</v>
      </c>
      <c r="L180">
        <v>19</v>
      </c>
      <c r="M180">
        <v>2</v>
      </c>
    </row>
    <row r="181" spans="1:13" x14ac:dyDescent="0.2">
      <c r="A181">
        <v>2018</v>
      </c>
      <c r="B181" t="s">
        <v>116</v>
      </c>
      <c r="C181">
        <v>4</v>
      </c>
      <c r="D181">
        <v>0.22222222222222221</v>
      </c>
      <c r="E181">
        <v>0</v>
      </c>
      <c r="F181">
        <v>0</v>
      </c>
      <c r="G181">
        <v>0</v>
      </c>
      <c r="H181">
        <v>18</v>
      </c>
      <c r="I181">
        <v>0</v>
      </c>
      <c r="J181">
        <v>2018</v>
      </c>
      <c r="K181">
        <v>1999</v>
      </c>
      <c r="L181">
        <v>19</v>
      </c>
      <c r="M181">
        <v>2</v>
      </c>
    </row>
  </sheetData>
  <phoneticPr fontId="2" type="noConversion"/>
  <conditionalFormatting sqref="AA1:AA1048576">
    <cfRule type="cellIs" dxfId="17" priority="1" operator="equal">
      <formula>2024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3996-61BA-44A1-BEF2-8107B0F9EF85}">
  <dimension ref="A1:Q17"/>
  <sheetViews>
    <sheetView workbookViewId="0">
      <selection activeCell="D18" sqref="D18"/>
    </sheetView>
  </sheetViews>
  <sheetFormatPr defaultRowHeight="10.199999999999999" x14ac:dyDescent="0.2"/>
  <cols>
    <col min="1" max="1" width="9" style="1"/>
    <col min="2" max="2" width="25.42578125" bestFit="1" customWidth="1"/>
    <col min="3" max="3" width="5.42578125" style="1" customWidth="1"/>
    <col min="4" max="10" width="6.42578125" style="1" customWidth="1"/>
    <col min="11" max="11" width="6.42578125" style="7" customWidth="1"/>
    <col min="12" max="12" width="6.42578125" style="1" customWidth="1"/>
    <col min="13" max="13" width="2.85546875" style="1" customWidth="1"/>
    <col min="14" max="17" width="6.42578125" style="8" customWidth="1"/>
  </cols>
  <sheetData>
    <row r="1" spans="1:17" x14ac:dyDescent="0.2">
      <c r="A1" s="1" t="s">
        <v>0</v>
      </c>
      <c r="B1" s="3" t="s">
        <v>382</v>
      </c>
      <c r="C1" s="1" t="s">
        <v>227</v>
      </c>
      <c r="D1" s="1" t="s">
        <v>377</v>
      </c>
      <c r="E1" s="1" t="s">
        <v>351</v>
      </c>
      <c r="F1" s="1" t="s">
        <v>236</v>
      </c>
      <c r="G1" s="1" t="s">
        <v>237</v>
      </c>
      <c r="H1" s="1" t="s">
        <v>238</v>
      </c>
      <c r="I1" s="1" t="s">
        <v>247</v>
      </c>
      <c r="J1" s="1" t="s">
        <v>248</v>
      </c>
      <c r="K1" s="7" t="s">
        <v>241</v>
      </c>
      <c r="L1" s="1" t="s">
        <v>352</v>
      </c>
      <c r="M1" s="1" t="s">
        <v>210</v>
      </c>
      <c r="N1" s="8" t="s">
        <v>353</v>
      </c>
      <c r="O1" s="8" t="s">
        <v>354</v>
      </c>
      <c r="P1" s="8" t="s">
        <v>355</v>
      </c>
      <c r="Q1" s="8" t="s">
        <v>356</v>
      </c>
    </row>
    <row r="2" spans="1:17" x14ac:dyDescent="0.2">
      <c r="A2" s="1">
        <v>2010</v>
      </c>
      <c r="B2" s="3" t="s">
        <v>357</v>
      </c>
      <c r="C2" s="1">
        <v>3</v>
      </c>
      <c r="D2" s="1">
        <v>7</v>
      </c>
      <c r="E2" s="1">
        <v>22</v>
      </c>
      <c r="F2" s="1">
        <v>10</v>
      </c>
      <c r="G2" s="1">
        <v>1</v>
      </c>
      <c r="H2" s="1">
        <v>11</v>
      </c>
      <c r="I2" s="1">
        <v>40</v>
      </c>
      <c r="J2" s="1">
        <v>45</v>
      </c>
      <c r="K2" s="7">
        <v>-5</v>
      </c>
      <c r="L2" s="1">
        <v>31</v>
      </c>
      <c r="N2" s="8">
        <v>1.8</v>
      </c>
      <c r="O2" s="8">
        <v>2</v>
      </c>
      <c r="P2" s="8">
        <v>-0.2</v>
      </c>
      <c r="Q2" s="8">
        <v>1.4</v>
      </c>
    </row>
    <row r="3" spans="1:17" x14ac:dyDescent="0.2">
      <c r="A3" s="1">
        <v>2011</v>
      </c>
      <c r="B3" s="3" t="s">
        <v>361</v>
      </c>
      <c r="C3" s="1">
        <v>3</v>
      </c>
      <c r="D3" s="1">
        <v>10</v>
      </c>
      <c r="E3" s="1">
        <v>22</v>
      </c>
      <c r="F3" s="1">
        <v>4</v>
      </c>
      <c r="G3" s="1">
        <v>10</v>
      </c>
      <c r="H3" s="1">
        <v>8</v>
      </c>
      <c r="I3" s="1">
        <v>26</v>
      </c>
      <c r="J3" s="1">
        <v>42</v>
      </c>
      <c r="K3" s="7">
        <v>-16</v>
      </c>
      <c r="L3" s="1">
        <v>22</v>
      </c>
      <c r="N3" s="8">
        <v>1.2</v>
      </c>
      <c r="O3" s="8">
        <v>1.9</v>
      </c>
      <c r="P3" s="8">
        <v>-0.7</v>
      </c>
      <c r="Q3" s="8">
        <v>1</v>
      </c>
    </row>
    <row r="4" spans="1:17" x14ac:dyDescent="0.2">
      <c r="A4" s="1">
        <v>2012</v>
      </c>
      <c r="B4" s="3" t="s">
        <v>362</v>
      </c>
      <c r="C4" s="1">
        <v>4</v>
      </c>
      <c r="D4" s="1">
        <v>10</v>
      </c>
      <c r="E4" s="1">
        <v>18</v>
      </c>
      <c r="F4" s="1">
        <v>1</v>
      </c>
      <c r="G4" s="1">
        <v>2</v>
      </c>
      <c r="H4" s="1">
        <v>15</v>
      </c>
      <c r="I4" s="1">
        <v>18</v>
      </c>
      <c r="J4" s="1">
        <v>68</v>
      </c>
      <c r="K4" s="7">
        <v>-50</v>
      </c>
      <c r="L4" s="1">
        <v>5</v>
      </c>
      <c r="N4" s="8">
        <v>1</v>
      </c>
      <c r="O4" s="8">
        <v>3.8</v>
      </c>
      <c r="P4" s="8">
        <v>-2.8</v>
      </c>
      <c r="Q4" s="8">
        <v>0.3</v>
      </c>
    </row>
    <row r="5" spans="1:17" x14ac:dyDescent="0.2">
      <c r="A5" s="1">
        <v>2013</v>
      </c>
      <c r="B5" s="3" t="s">
        <v>362</v>
      </c>
      <c r="C5" s="1">
        <v>4</v>
      </c>
      <c r="D5" s="1">
        <v>3</v>
      </c>
      <c r="E5" s="1">
        <v>10</v>
      </c>
      <c r="F5" s="1">
        <v>4</v>
      </c>
      <c r="G5" s="1">
        <v>4</v>
      </c>
      <c r="H5" s="1">
        <v>2</v>
      </c>
      <c r="I5" s="1">
        <v>30</v>
      </c>
      <c r="J5" s="1">
        <v>15</v>
      </c>
      <c r="K5" s="7">
        <v>15</v>
      </c>
      <c r="L5" s="1">
        <v>16</v>
      </c>
      <c r="N5" s="8">
        <v>3</v>
      </c>
      <c r="O5" s="8">
        <v>1.5</v>
      </c>
      <c r="P5" s="8">
        <v>1.5</v>
      </c>
      <c r="Q5" s="8">
        <v>1.6</v>
      </c>
    </row>
    <row r="6" spans="1:17" x14ac:dyDescent="0.2">
      <c r="A6" s="1">
        <v>2014</v>
      </c>
      <c r="B6" s="3" t="s">
        <v>362</v>
      </c>
      <c r="C6" s="1">
        <v>4</v>
      </c>
      <c r="D6" s="1">
        <v>6</v>
      </c>
      <c r="E6" s="1">
        <v>16</v>
      </c>
      <c r="F6" s="1">
        <v>7</v>
      </c>
      <c r="G6" s="1">
        <v>4</v>
      </c>
      <c r="H6" s="1">
        <v>5</v>
      </c>
      <c r="I6" s="1">
        <v>60</v>
      </c>
      <c r="J6" s="1">
        <v>35</v>
      </c>
      <c r="K6" s="7">
        <v>25</v>
      </c>
      <c r="L6" s="1">
        <v>25</v>
      </c>
      <c r="N6" s="8">
        <v>3.8</v>
      </c>
      <c r="O6" s="8">
        <v>2.2000000000000002</v>
      </c>
      <c r="P6" s="8">
        <v>1.6</v>
      </c>
      <c r="Q6" s="8">
        <v>1.6</v>
      </c>
    </row>
    <row r="7" spans="1:17" x14ac:dyDescent="0.2">
      <c r="A7" s="1">
        <v>2015</v>
      </c>
      <c r="B7" s="3" t="s">
        <v>362</v>
      </c>
      <c r="C7" s="1">
        <v>4</v>
      </c>
      <c r="D7" s="1">
        <v>3</v>
      </c>
      <c r="E7" s="1">
        <v>20</v>
      </c>
      <c r="F7" s="1">
        <v>13</v>
      </c>
      <c r="G7" s="1">
        <v>3</v>
      </c>
      <c r="H7" s="1">
        <v>4</v>
      </c>
      <c r="I7" s="1">
        <v>114</v>
      </c>
      <c r="J7" s="1">
        <v>37</v>
      </c>
      <c r="K7" s="7">
        <v>77</v>
      </c>
      <c r="L7" s="1">
        <v>42</v>
      </c>
      <c r="N7" s="8">
        <v>5.7</v>
      </c>
      <c r="O7" s="8">
        <v>1.9</v>
      </c>
      <c r="P7" s="8">
        <v>3.9</v>
      </c>
      <c r="Q7" s="8">
        <v>2.1</v>
      </c>
    </row>
    <row r="8" spans="1:17" x14ac:dyDescent="0.2">
      <c r="A8" s="1">
        <v>2016</v>
      </c>
      <c r="B8" s="3" t="s">
        <v>362</v>
      </c>
      <c r="C8" s="1">
        <v>4</v>
      </c>
      <c r="D8" s="1">
        <v>3</v>
      </c>
      <c r="E8" s="1">
        <v>16</v>
      </c>
      <c r="F8" s="1">
        <v>11</v>
      </c>
      <c r="G8" s="1">
        <v>2</v>
      </c>
      <c r="H8" s="1">
        <v>3</v>
      </c>
      <c r="I8" s="1">
        <v>56</v>
      </c>
      <c r="J8" s="1">
        <v>31</v>
      </c>
      <c r="K8" s="7">
        <v>25</v>
      </c>
      <c r="L8" s="1">
        <v>35</v>
      </c>
      <c r="N8" s="8">
        <v>3.5</v>
      </c>
      <c r="O8" s="8">
        <v>1.9</v>
      </c>
      <c r="P8" s="8">
        <v>1.6</v>
      </c>
      <c r="Q8" s="8">
        <v>2.2000000000000002</v>
      </c>
    </row>
    <row r="9" spans="1:17" x14ac:dyDescent="0.2">
      <c r="A9" s="1">
        <v>2017</v>
      </c>
      <c r="B9" s="3" t="s">
        <v>367</v>
      </c>
      <c r="C9" s="1">
        <v>3</v>
      </c>
      <c r="D9" s="1">
        <v>1</v>
      </c>
      <c r="E9" s="1">
        <v>18</v>
      </c>
      <c r="F9" s="1">
        <v>15</v>
      </c>
      <c r="G9" s="1">
        <v>0</v>
      </c>
      <c r="H9" s="1">
        <v>3</v>
      </c>
      <c r="I9" s="1">
        <v>69</v>
      </c>
      <c r="J9" s="1">
        <v>24</v>
      </c>
      <c r="K9" s="7">
        <v>45</v>
      </c>
      <c r="L9" s="1">
        <v>45</v>
      </c>
      <c r="N9" s="8">
        <v>3.8</v>
      </c>
      <c r="O9" s="8">
        <v>1.3</v>
      </c>
      <c r="P9" s="8">
        <v>2.5</v>
      </c>
      <c r="Q9" s="8">
        <v>2.5</v>
      </c>
    </row>
    <row r="10" spans="1:17" x14ac:dyDescent="0.2">
      <c r="A10" s="1">
        <v>2018</v>
      </c>
      <c r="B10" s="3" t="s">
        <v>370</v>
      </c>
      <c r="C10" s="1">
        <v>2</v>
      </c>
      <c r="D10" s="1">
        <v>4</v>
      </c>
      <c r="E10" s="1">
        <v>18</v>
      </c>
      <c r="F10" s="1">
        <v>10</v>
      </c>
      <c r="G10" s="1">
        <v>2</v>
      </c>
      <c r="H10" s="1">
        <v>6</v>
      </c>
      <c r="I10" s="1">
        <v>58</v>
      </c>
      <c r="J10" s="1">
        <v>34</v>
      </c>
      <c r="K10" s="7">
        <v>24</v>
      </c>
      <c r="L10" s="1">
        <v>32</v>
      </c>
      <c r="N10" s="8">
        <v>3.2</v>
      </c>
      <c r="O10" s="8">
        <v>1.9</v>
      </c>
      <c r="P10" s="8">
        <v>1.3</v>
      </c>
      <c r="Q10" s="8">
        <v>1.8</v>
      </c>
    </row>
    <row r="11" spans="1:17" x14ac:dyDescent="0.2">
      <c r="A11" s="1">
        <v>2019</v>
      </c>
      <c r="B11" s="3" t="s">
        <v>370</v>
      </c>
      <c r="C11" s="1">
        <v>2</v>
      </c>
      <c r="D11" s="1">
        <v>1</v>
      </c>
      <c r="E11" s="1">
        <v>22</v>
      </c>
      <c r="F11" s="1">
        <v>20</v>
      </c>
      <c r="G11" s="1">
        <v>1</v>
      </c>
      <c r="H11" s="1">
        <v>1</v>
      </c>
      <c r="I11" s="1">
        <v>104</v>
      </c>
      <c r="J11" s="1">
        <v>33</v>
      </c>
      <c r="K11" s="7">
        <v>71</v>
      </c>
      <c r="L11" s="1">
        <v>61</v>
      </c>
      <c r="N11" s="8">
        <v>4.7</v>
      </c>
      <c r="O11" s="8">
        <v>1.5</v>
      </c>
      <c r="P11" s="8">
        <v>3.2</v>
      </c>
      <c r="Q11" s="8">
        <v>2.8</v>
      </c>
    </row>
    <row r="12" spans="1:17" x14ac:dyDescent="0.2">
      <c r="A12" s="1">
        <v>2020</v>
      </c>
      <c r="B12" s="3" t="s">
        <v>371</v>
      </c>
      <c r="C12" s="1">
        <v>1</v>
      </c>
      <c r="D12" s="1">
        <v>10</v>
      </c>
      <c r="E12" s="1">
        <v>10</v>
      </c>
      <c r="F12" s="1">
        <v>0</v>
      </c>
      <c r="G12" s="1">
        <v>2</v>
      </c>
      <c r="H12" s="1">
        <v>8</v>
      </c>
      <c r="I12" s="1">
        <v>10</v>
      </c>
      <c r="J12" s="1">
        <v>54</v>
      </c>
      <c r="K12" s="7">
        <v>-44</v>
      </c>
      <c r="L12" s="1">
        <v>2</v>
      </c>
      <c r="N12" s="8">
        <v>1</v>
      </c>
      <c r="O12" s="8">
        <v>5.4</v>
      </c>
      <c r="P12" s="8">
        <v>-4.4000000000000004</v>
      </c>
      <c r="Q12" s="8">
        <v>0.2</v>
      </c>
    </row>
    <row r="13" spans="1:17" x14ac:dyDescent="0.2">
      <c r="A13" s="1">
        <v>2021</v>
      </c>
      <c r="B13" s="3" t="s">
        <v>372</v>
      </c>
      <c r="C13" s="1">
        <v>2</v>
      </c>
      <c r="D13" s="1">
        <v>5</v>
      </c>
      <c r="E13" s="1">
        <v>11</v>
      </c>
      <c r="F13" s="1">
        <v>5</v>
      </c>
      <c r="G13" s="1">
        <v>2</v>
      </c>
      <c r="H13" s="1">
        <v>4</v>
      </c>
      <c r="I13" s="1">
        <v>28</v>
      </c>
      <c r="J13" s="1">
        <v>21</v>
      </c>
      <c r="K13" s="7">
        <v>7</v>
      </c>
      <c r="L13" s="1">
        <v>17</v>
      </c>
      <c r="N13" s="8">
        <v>2.5</v>
      </c>
      <c r="O13" s="8">
        <v>1.9</v>
      </c>
      <c r="P13" s="8">
        <v>0.6</v>
      </c>
      <c r="Q13" s="8">
        <v>1.5</v>
      </c>
    </row>
    <row r="14" spans="1:17" x14ac:dyDescent="0.2">
      <c r="A14" s="1">
        <v>2022</v>
      </c>
      <c r="B14" s="3" t="s">
        <v>373</v>
      </c>
      <c r="C14" s="1">
        <v>2</v>
      </c>
      <c r="D14" s="1">
        <v>1</v>
      </c>
      <c r="E14" s="1">
        <v>22</v>
      </c>
      <c r="F14" s="1">
        <v>19</v>
      </c>
      <c r="G14" s="1">
        <v>2</v>
      </c>
      <c r="H14" s="1">
        <v>1</v>
      </c>
      <c r="I14" s="1">
        <v>98</v>
      </c>
      <c r="J14" s="1">
        <v>27</v>
      </c>
      <c r="K14" s="7">
        <v>71</v>
      </c>
      <c r="L14" s="1">
        <v>59</v>
      </c>
      <c r="N14" s="8">
        <v>4.5</v>
      </c>
      <c r="O14" s="8">
        <v>1.2</v>
      </c>
      <c r="P14" s="8">
        <v>3.2</v>
      </c>
      <c r="Q14" s="8">
        <v>2.7</v>
      </c>
    </row>
    <row r="15" spans="1:17" x14ac:dyDescent="0.2">
      <c r="A15" s="1">
        <v>2023</v>
      </c>
      <c r="B15" s="3" t="s">
        <v>370</v>
      </c>
      <c r="C15" s="1">
        <v>2</v>
      </c>
      <c r="D15" s="1">
        <v>7</v>
      </c>
      <c r="E15" s="1">
        <v>22</v>
      </c>
      <c r="F15" s="1">
        <v>10</v>
      </c>
      <c r="G15" s="1">
        <v>3</v>
      </c>
      <c r="H15" s="1">
        <v>9</v>
      </c>
      <c r="I15" s="1">
        <v>51</v>
      </c>
      <c r="J15" s="1">
        <v>39</v>
      </c>
      <c r="K15" s="7">
        <v>12</v>
      </c>
      <c r="L15" s="1">
        <v>33</v>
      </c>
      <c r="N15" s="8">
        <v>2.3181818181818183</v>
      </c>
      <c r="O15" s="8">
        <v>1.7727272727272727</v>
      </c>
      <c r="P15" s="8">
        <v>0.54545454545454564</v>
      </c>
      <c r="Q15" s="8">
        <v>1.5</v>
      </c>
    </row>
    <row r="16" spans="1:17" x14ac:dyDescent="0.2">
      <c r="A16" s="1">
        <v>2024</v>
      </c>
      <c r="B16" s="3" t="s">
        <v>370</v>
      </c>
      <c r="C16" s="1">
        <v>2</v>
      </c>
      <c r="D16" s="1">
        <v>2</v>
      </c>
      <c r="E16" s="1">
        <v>20</v>
      </c>
      <c r="F16" s="1">
        <v>15</v>
      </c>
      <c r="G16" s="1">
        <v>0</v>
      </c>
      <c r="H16" s="1">
        <v>5</v>
      </c>
      <c r="I16" s="1">
        <v>69</v>
      </c>
      <c r="J16" s="1">
        <v>28</v>
      </c>
      <c r="K16" s="7">
        <v>41</v>
      </c>
      <c r="L16" s="1">
        <v>45</v>
      </c>
      <c r="N16" s="8">
        <v>3.45</v>
      </c>
      <c r="O16" s="8">
        <v>1.4</v>
      </c>
      <c r="P16" s="8">
        <v>2.0500000000000003</v>
      </c>
      <c r="Q16" s="8">
        <v>2.25</v>
      </c>
    </row>
    <row r="17" spans="1:3" x14ac:dyDescent="0.2">
      <c r="A17" s="1">
        <v>2026</v>
      </c>
      <c r="B17" s="3" t="s">
        <v>393</v>
      </c>
      <c r="C17" s="1">
        <v>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7D21-A974-4609-8F0A-757CC8ED4674}">
  <dimension ref="A1:AW463"/>
  <sheetViews>
    <sheetView tabSelected="1" zoomScaleNormal="100" workbookViewId="0">
      <pane ySplit="19" topLeftCell="A20" activePane="bottomLeft" state="frozen"/>
      <selection pane="bottomLeft" activeCell="M28" sqref="M28"/>
    </sheetView>
  </sheetViews>
  <sheetFormatPr defaultColWidth="9" defaultRowHeight="10.8" x14ac:dyDescent="0.25"/>
  <cols>
    <col min="1" max="1" width="12" style="97" customWidth="1"/>
    <col min="2" max="2" width="22.7109375" style="98" customWidth="1"/>
    <col min="3" max="3" width="5.5703125" style="97" customWidth="1"/>
    <col min="4" max="4" width="6.5703125" style="99" customWidth="1"/>
    <col min="5" max="8" width="5.5703125" style="97" customWidth="1"/>
    <col min="9" max="9" width="5.5703125" style="100" customWidth="1"/>
    <col min="10" max="19" width="5.5703125" style="98" customWidth="1"/>
    <col min="20" max="20" width="22.7109375" style="98" customWidth="1"/>
    <col min="21" max="25" width="5.5703125" style="97" customWidth="1"/>
    <col min="26" max="26" width="5.5703125" style="100" customWidth="1"/>
    <col min="27" max="31" width="5.5703125" style="98" customWidth="1"/>
    <col min="32" max="32" width="17.42578125" style="98" bestFit="1" customWidth="1"/>
    <col min="33" max="45" width="5.5703125" style="98" customWidth="1"/>
    <col min="46" max="49" width="5.5703125" style="97" customWidth="1"/>
    <col min="50" max="89" width="5.5703125" style="98" customWidth="1"/>
    <col min="90" max="16384" width="9" style="98"/>
  </cols>
  <sheetData>
    <row r="1" spans="45:49" x14ac:dyDescent="0.25">
      <c r="AS1" s="97" t="s">
        <v>0</v>
      </c>
      <c r="AT1" s="97" t="s">
        <v>1</v>
      </c>
      <c r="AU1" s="100" t="s">
        <v>2</v>
      </c>
      <c r="AV1" s="100" t="s">
        <v>3</v>
      </c>
      <c r="AW1" s="97" t="s">
        <v>4</v>
      </c>
    </row>
    <row r="2" spans="45:49" x14ac:dyDescent="0.25">
      <c r="AS2" s="97">
        <v>2010</v>
      </c>
      <c r="AT2" s="97">
        <f t="shared" ref="AT2:AT13" si="0">COUNTIF(A:A,AS2)</f>
        <v>24</v>
      </c>
      <c r="AU2" s="100">
        <f>Tabell6[[#This Row],[SUMMA ÅR]]/Tabell6[[#This Row],[ANTAL SPELARE]]</f>
        <v>18.208333333333332</v>
      </c>
      <c r="AV2" s="101">
        <f>COUNTIF('100%'!A:A,Tabell6[[#This Row],[ÅR]])</f>
        <v>0</v>
      </c>
      <c r="AW2" s="97">
        <f>SUMIF(A:A,Tabell6[[#This Row],[ÅR]],L:L)</f>
        <v>437</v>
      </c>
    </row>
    <row r="3" spans="45:49" x14ac:dyDescent="0.25">
      <c r="AS3" s="97">
        <f>AS2+1</f>
        <v>2011</v>
      </c>
      <c r="AT3" s="97">
        <f t="shared" si="0"/>
        <v>24</v>
      </c>
      <c r="AU3" s="100">
        <f t="shared" ref="AU3:AU13" si="1">AW3/AT3</f>
        <v>20.958333333333332</v>
      </c>
      <c r="AV3" s="101">
        <f>COUNTIF('100%'!A:A,Tabell6[[#This Row],[ÅR]])</f>
        <v>3</v>
      </c>
      <c r="AW3" s="97">
        <f>SUMIF(A:A,Tabell6[[#This Row],[ÅR]],L:L)</f>
        <v>503</v>
      </c>
    </row>
    <row r="4" spans="45:49" x14ac:dyDescent="0.25">
      <c r="AS4" s="97">
        <f t="shared" ref="AS4:AS9" si="2">AS3+1</f>
        <v>2012</v>
      </c>
      <c r="AT4" s="97">
        <f t="shared" si="0"/>
        <v>21</v>
      </c>
      <c r="AU4" s="100">
        <f t="shared" si="1"/>
        <v>17.80952380952381</v>
      </c>
      <c r="AV4" s="101">
        <f>COUNTIF('100%'!A:A,Tabell6[[#This Row],[ÅR]])</f>
        <v>4</v>
      </c>
      <c r="AW4" s="97">
        <f>SUMIF(A:A,Tabell6[[#This Row],[ÅR]],L:L)</f>
        <v>374</v>
      </c>
    </row>
    <row r="5" spans="45:49" x14ac:dyDescent="0.25">
      <c r="AS5" s="97">
        <f t="shared" si="2"/>
        <v>2013</v>
      </c>
      <c r="AT5" s="97">
        <f t="shared" si="0"/>
        <v>26</v>
      </c>
      <c r="AU5" s="100">
        <f t="shared" si="1"/>
        <v>17.807692307692307</v>
      </c>
      <c r="AV5" s="101">
        <f>COUNTIF('100%'!A:A,Tabell6[[#This Row],[ÅR]])</f>
        <v>5</v>
      </c>
      <c r="AW5" s="97">
        <f>SUMIF(A:A,Tabell6[[#This Row],[ÅR]],L:L)</f>
        <v>463</v>
      </c>
    </row>
    <row r="6" spans="45:49" x14ac:dyDescent="0.25">
      <c r="AS6" s="97">
        <f t="shared" si="2"/>
        <v>2014</v>
      </c>
      <c r="AT6" s="97">
        <f t="shared" si="0"/>
        <v>25</v>
      </c>
      <c r="AU6" s="100">
        <f t="shared" si="1"/>
        <v>18.760000000000002</v>
      </c>
      <c r="AV6" s="101">
        <f>COUNTIF('100%'!A:A,Tabell6[[#This Row],[ÅR]])</f>
        <v>1</v>
      </c>
      <c r="AW6" s="97">
        <f>SUMIF(A:A,Tabell6[[#This Row],[ÅR]],L:L)</f>
        <v>469</v>
      </c>
    </row>
    <row r="7" spans="45:49" x14ac:dyDescent="0.25">
      <c r="AS7" s="97">
        <f t="shared" si="2"/>
        <v>2015</v>
      </c>
      <c r="AT7" s="97">
        <f t="shared" si="0"/>
        <v>37</v>
      </c>
      <c r="AU7" s="100">
        <f t="shared" si="1"/>
        <v>16.378378378378379</v>
      </c>
      <c r="AV7" s="101">
        <f>COUNTIF('100%'!A:A,Tabell6[[#This Row],[ÅR]])</f>
        <v>0</v>
      </c>
      <c r="AW7" s="97">
        <f>SUMIF(A:A,Tabell6[[#This Row],[ÅR]],L:L)</f>
        <v>606</v>
      </c>
    </row>
    <row r="8" spans="45:49" x14ac:dyDescent="0.25">
      <c r="AS8" s="97">
        <f t="shared" si="2"/>
        <v>2016</v>
      </c>
      <c r="AT8" s="97">
        <f t="shared" si="0"/>
        <v>33</v>
      </c>
      <c r="AU8" s="100">
        <f t="shared" si="1"/>
        <v>17.757575757575758</v>
      </c>
      <c r="AV8" s="101">
        <f>COUNTIF('100%'!A:A,Tabell6[[#This Row],[ÅR]])</f>
        <v>1</v>
      </c>
      <c r="AW8" s="97">
        <f>SUMIF(A:A,Tabell6[[#This Row],[ÅR]],L:L)</f>
        <v>586</v>
      </c>
    </row>
    <row r="9" spans="45:49" x14ac:dyDescent="0.25">
      <c r="AS9" s="97">
        <f t="shared" si="2"/>
        <v>2017</v>
      </c>
      <c r="AT9" s="97">
        <f t="shared" si="0"/>
        <v>28</v>
      </c>
      <c r="AU9" s="100">
        <f t="shared" si="1"/>
        <v>19.714285714285715</v>
      </c>
      <c r="AV9" s="101">
        <f>COUNTIF('100%'!A:A,Tabell6[[#This Row],[ÅR]])</f>
        <v>2</v>
      </c>
      <c r="AW9" s="97">
        <f>SUMIF(A:A,Tabell6[[#This Row],[ÅR]],L:L)</f>
        <v>552</v>
      </c>
    </row>
    <row r="10" spans="45:49" x14ac:dyDescent="0.25">
      <c r="AS10" s="97">
        <f>AS9+1</f>
        <v>2018</v>
      </c>
      <c r="AT10" s="97">
        <f t="shared" si="0"/>
        <v>21</v>
      </c>
      <c r="AU10" s="100">
        <f t="shared" si="1"/>
        <v>23.761904761904763</v>
      </c>
      <c r="AV10" s="101">
        <f>COUNTIF('100%'!A:A,Tabell6[[#This Row],[ÅR]])</f>
        <v>3</v>
      </c>
      <c r="AW10" s="97">
        <f>SUMIF(A:A,Tabell6[[#This Row],[ÅR]],L:L)</f>
        <v>499</v>
      </c>
    </row>
    <row r="11" spans="45:49" x14ac:dyDescent="0.25">
      <c r="AS11" s="97">
        <f>AS10+1</f>
        <v>2019</v>
      </c>
      <c r="AT11" s="97">
        <f t="shared" si="0"/>
        <v>21</v>
      </c>
      <c r="AU11" s="100">
        <f t="shared" si="1"/>
        <v>24.19047619047619</v>
      </c>
      <c r="AV11" s="101">
        <f>COUNTIF('100%'!A:A,Tabell6[[#This Row],[ÅR]])</f>
        <v>3</v>
      </c>
      <c r="AW11" s="97">
        <f>SUMIF(A:A,Tabell6[[#This Row],[ÅR]],L:L)</f>
        <v>508</v>
      </c>
    </row>
    <row r="12" spans="45:49" x14ac:dyDescent="0.25">
      <c r="AS12" s="97">
        <f>AS11+1</f>
        <v>2020</v>
      </c>
      <c r="AT12" s="97">
        <f t="shared" si="0"/>
        <v>25</v>
      </c>
      <c r="AU12" s="100">
        <f t="shared" si="1"/>
        <v>22.36</v>
      </c>
      <c r="AV12" s="101">
        <f>COUNTIF('100%'!A:A,Tabell6[[#This Row],[ÅR]])</f>
        <v>4</v>
      </c>
      <c r="AW12" s="97">
        <f>SUMIF(A:A,Tabell6[[#This Row],[ÅR]],L:L)</f>
        <v>559</v>
      </c>
    </row>
    <row r="13" spans="45:49" x14ac:dyDescent="0.25">
      <c r="AS13" s="97">
        <f>AS12+1</f>
        <v>2021</v>
      </c>
      <c r="AT13" s="97">
        <f t="shared" si="0"/>
        <v>24</v>
      </c>
      <c r="AU13" s="100">
        <f t="shared" si="1"/>
        <v>21</v>
      </c>
      <c r="AV13" s="101">
        <f>COUNTIF('100%'!A:A,Tabell6[[#This Row],[ÅR]])</f>
        <v>6</v>
      </c>
      <c r="AW13" s="97">
        <f>SUMIF(A:A,Tabell6[[#This Row],[ÅR]],L:L)</f>
        <v>504</v>
      </c>
    </row>
    <row r="14" spans="45:49" x14ac:dyDescent="0.25">
      <c r="AS14" s="97">
        <f t="shared" ref="AS14:AS18" si="3">AS13+1</f>
        <v>2022</v>
      </c>
      <c r="AT14" s="97">
        <f t="shared" ref="AT14:AT18" si="4">COUNTIF(A:A,AS14)</f>
        <v>29</v>
      </c>
      <c r="AU14" s="100">
        <f t="shared" ref="AU14:AU18" si="5">AW14/AT14</f>
        <v>23.206896551724139</v>
      </c>
      <c r="AV14" s="101">
        <f>COUNTIF('100%'!A:A,Tabell6[[#This Row],[ÅR]])</f>
        <v>2</v>
      </c>
      <c r="AW14" s="97">
        <f>SUMIF(A:A,Tabell6[[#This Row],[ÅR]],L:L)</f>
        <v>673</v>
      </c>
    </row>
    <row r="15" spans="45:49" x14ac:dyDescent="0.25">
      <c r="AS15" s="97">
        <f t="shared" si="3"/>
        <v>2023</v>
      </c>
      <c r="AT15" s="97">
        <f t="shared" si="4"/>
        <v>28</v>
      </c>
      <c r="AU15" s="100">
        <f t="shared" si="5"/>
        <v>22.642857142857142</v>
      </c>
      <c r="AV15" s="101">
        <f>COUNTIF('100%'!A:A,Tabell6[[#This Row],[ÅR]])</f>
        <v>3</v>
      </c>
      <c r="AW15" s="97">
        <f>SUMIF(A:A,Tabell6[[#This Row],[ÅR]],L:L)</f>
        <v>634</v>
      </c>
    </row>
    <row r="16" spans="45:49" x14ac:dyDescent="0.25">
      <c r="AS16" s="97">
        <f t="shared" si="3"/>
        <v>2024</v>
      </c>
      <c r="AT16" s="97">
        <f t="shared" si="4"/>
        <v>33</v>
      </c>
      <c r="AU16" s="100">
        <f t="shared" si="5"/>
        <v>20.90909090909091</v>
      </c>
      <c r="AV16" s="101">
        <f>COUNTIF('100%'!A:A,Tabell6[[#This Row],[ÅR]])</f>
        <v>1</v>
      </c>
      <c r="AW16" s="97">
        <f>SUMIF(A:A,Tabell6[[#This Row],[ÅR]],L:L)</f>
        <v>690</v>
      </c>
    </row>
    <row r="17" spans="1:49" x14ac:dyDescent="0.25">
      <c r="AS17" s="97">
        <f t="shared" si="3"/>
        <v>2025</v>
      </c>
      <c r="AT17" s="97">
        <f t="shared" si="4"/>
        <v>23</v>
      </c>
      <c r="AU17" s="100">
        <f t="shared" si="5"/>
        <v>19.260869565217391</v>
      </c>
      <c r="AV17" s="101">
        <f>COUNTIF('100%'!A:A,Tabell6[[#This Row],[ÅR]])</f>
        <v>3</v>
      </c>
      <c r="AW17" s="97">
        <f>SUMIF(A:A,Tabell6[[#This Row],[ÅR]],L:L)</f>
        <v>443</v>
      </c>
    </row>
    <row r="18" spans="1:49" x14ac:dyDescent="0.25">
      <c r="AS18" s="97">
        <f t="shared" si="3"/>
        <v>2026</v>
      </c>
      <c r="AT18" s="97">
        <f t="shared" si="4"/>
        <v>22</v>
      </c>
      <c r="AU18" s="100">
        <f t="shared" si="5"/>
        <v>22</v>
      </c>
      <c r="AV18" s="101">
        <f>COUNTIF('100%'!A:A,Tabell6[[#This Row],[ÅR]])</f>
        <v>0</v>
      </c>
      <c r="AW18" s="97">
        <f>SUMIF(A:A,Tabell6[[#This Row],[ÅR]],L:L)</f>
        <v>484</v>
      </c>
    </row>
    <row r="19" spans="1:49" x14ac:dyDescent="0.25">
      <c r="A19" s="97" t="s">
        <v>0</v>
      </c>
      <c r="B19" s="98" t="s">
        <v>5</v>
      </c>
      <c r="C19" s="97" t="s">
        <v>6</v>
      </c>
      <c r="D19" s="99" t="s">
        <v>7</v>
      </c>
      <c r="E19" s="97" t="s">
        <v>8</v>
      </c>
      <c r="F19" s="97" t="s">
        <v>9</v>
      </c>
      <c r="G19" s="97" t="s">
        <v>10</v>
      </c>
      <c r="H19" s="97" t="s">
        <v>11</v>
      </c>
      <c r="I19" s="100" t="s">
        <v>12</v>
      </c>
      <c r="J19" s="97" t="s">
        <v>13</v>
      </c>
      <c r="K19" s="97" t="s">
        <v>14</v>
      </c>
      <c r="L19" s="97" t="s">
        <v>15</v>
      </c>
      <c r="M19" s="97" t="s">
        <v>16</v>
      </c>
      <c r="N19" s="97" t="s">
        <v>17</v>
      </c>
      <c r="O19" s="97" t="s">
        <v>18</v>
      </c>
      <c r="P19" s="97" t="s">
        <v>19</v>
      </c>
      <c r="Q19" s="97" t="s">
        <v>20</v>
      </c>
      <c r="R19" s="97" t="s">
        <v>21</v>
      </c>
      <c r="T19" s="98" t="s">
        <v>5</v>
      </c>
      <c r="U19" s="97" t="s">
        <v>6</v>
      </c>
      <c r="V19" s="97" t="s">
        <v>22</v>
      </c>
      <c r="W19" s="97" t="s">
        <v>23</v>
      </c>
      <c r="X19" s="97" t="s">
        <v>389</v>
      </c>
      <c r="Y19" s="97" t="s">
        <v>10</v>
      </c>
      <c r="AS19" s="97"/>
      <c r="AU19" s="100"/>
      <c r="AV19" s="100"/>
    </row>
    <row r="20" spans="1:49" ht="10.8" customHeight="1" x14ac:dyDescent="0.25">
      <c r="A20" s="97">
        <v>2026</v>
      </c>
      <c r="B20" s="98" t="s">
        <v>34</v>
      </c>
      <c r="C20" s="97">
        <v>4</v>
      </c>
      <c r="D20" s="99">
        <f>IFERROR(Table1[[#This Row],[MAT]]/Table1[[#This Row],[LAG MATCH]],"")</f>
        <v>1</v>
      </c>
      <c r="E20" s="97">
        <v>0</v>
      </c>
      <c r="F20" s="97">
        <v>0</v>
      </c>
      <c r="G20" s="97">
        <v>7</v>
      </c>
      <c r="H20" s="97">
        <v>4</v>
      </c>
      <c r="I20" s="100">
        <f t="shared" ref="I20:I83" si="6">IFERROR(G20/C20,"")</f>
        <v>1.75</v>
      </c>
      <c r="J20" s="97">
        <f>Table1[[#This Row],[ÅR]]</f>
        <v>2026</v>
      </c>
      <c r="K20" s="97">
        <v>1991</v>
      </c>
      <c r="L20" s="97">
        <f>Table1[[#This Row],[ÅR]]-Table1[[#This Row],[FÖDD]]</f>
        <v>35</v>
      </c>
      <c r="M20" s="97">
        <v>4</v>
      </c>
      <c r="N20" s="97">
        <f>SUMIF(B:B,Table1[[#This Row],[Namn]],C:C)</f>
        <v>138</v>
      </c>
      <c r="O20" s="97">
        <f>COUNTIF(B:B,Table1[[#This Row],[Namn]])</f>
        <v>9</v>
      </c>
      <c r="P20" s="97">
        <f>SUMIF(B:B,Table1[[#This Row],[Namn]],G:G)</f>
        <v>103</v>
      </c>
      <c r="Q20" s="97">
        <f>SUMIF(B:B,Table1[[#This Row],[Namn]],E:E)</f>
        <v>4</v>
      </c>
      <c r="R20" s="97">
        <f>SUMIF(B:B,Table1[[#This Row],[Namn]],F:F)</f>
        <v>0</v>
      </c>
      <c r="U20" s="97">
        <f>Tabell16[[#This Row],[X]]+Tabell16[[#This Row],[TRUPP]]</f>
        <v>0</v>
      </c>
      <c r="V20" s="97">
        <f>SUMIF(Table1[Namn],Tabell16[[#This Row],[Namn]],Table1[MAT])</f>
        <v>0</v>
      </c>
      <c r="Z20" s="108"/>
      <c r="AA20" s="136">
        <f>W55</f>
        <v>0</v>
      </c>
      <c r="AB20" s="136"/>
      <c r="AC20" s="136"/>
      <c r="AS20" s="97"/>
      <c r="AT20" s="103"/>
      <c r="AU20" s="100"/>
      <c r="AV20" s="100"/>
    </row>
    <row r="21" spans="1:49" ht="10.8" customHeight="1" x14ac:dyDescent="0.25">
      <c r="A21" s="97">
        <v>2026</v>
      </c>
      <c r="B21" s="98" t="s">
        <v>30</v>
      </c>
      <c r="C21" s="97">
        <v>4</v>
      </c>
      <c r="D21" s="99">
        <f>IFERROR(Table1[[#This Row],[MAT]]/Table1[[#This Row],[LAG MATCH]],"")</f>
        <v>1</v>
      </c>
      <c r="E21" s="97">
        <v>0</v>
      </c>
      <c r="F21" s="97">
        <v>0</v>
      </c>
      <c r="G21" s="97">
        <v>4</v>
      </c>
      <c r="H21" s="97">
        <v>4</v>
      </c>
      <c r="I21" s="100">
        <f t="shared" si="6"/>
        <v>1</v>
      </c>
      <c r="J21" s="97">
        <f>Table1[[#This Row],[ÅR]]</f>
        <v>2026</v>
      </c>
      <c r="K21" s="97">
        <v>2005</v>
      </c>
      <c r="L21" s="97">
        <f>Table1[[#This Row],[ÅR]]-Table1[[#This Row],[FÖDD]]</f>
        <v>21</v>
      </c>
      <c r="M21" s="97">
        <v>4</v>
      </c>
      <c r="N21" s="97">
        <f>SUMIF(B:B,Table1[[#This Row],[Namn]],C:C)</f>
        <v>6</v>
      </c>
      <c r="O21" s="97">
        <f>COUNTIF(B:B,Table1[[#This Row],[Namn]])</f>
        <v>2</v>
      </c>
      <c r="P21" s="97">
        <f>SUMIF(B:B,Table1[[#This Row],[Namn]],G:G)</f>
        <v>5</v>
      </c>
      <c r="Q21" s="97">
        <f>SUMIF(B:B,Table1[[#This Row],[Namn]],E:E)</f>
        <v>0</v>
      </c>
      <c r="R21" s="97">
        <f>SUMIF(B:B,Table1[[#This Row],[Namn]],F:F)</f>
        <v>0</v>
      </c>
      <c r="U21" s="97">
        <f>Tabell16[[#This Row],[X]]+Tabell16[[#This Row],[TRUPP]]</f>
        <v>0</v>
      </c>
      <c r="V21" s="97">
        <f>SUMIF(Table1[Namn],Tabell16[[#This Row],[Namn]],Table1[MAT])</f>
        <v>0</v>
      </c>
      <c r="Y21" s="103"/>
      <c r="Z21" s="108"/>
      <c r="AA21" s="136"/>
      <c r="AB21" s="136"/>
      <c r="AC21" s="136"/>
      <c r="AS21" s="104"/>
      <c r="AW21" s="100"/>
    </row>
    <row r="22" spans="1:49" ht="10.8" customHeight="1" x14ac:dyDescent="0.25">
      <c r="A22" s="97">
        <v>2026</v>
      </c>
      <c r="B22" s="98" t="s">
        <v>29</v>
      </c>
      <c r="C22" s="97">
        <v>4</v>
      </c>
      <c r="D22" s="99">
        <f>IFERROR(Table1[[#This Row],[MAT]]/Table1[[#This Row],[LAG MATCH]],"")</f>
        <v>1</v>
      </c>
      <c r="E22" s="97">
        <v>0</v>
      </c>
      <c r="F22" s="97">
        <v>0</v>
      </c>
      <c r="G22" s="97">
        <v>3</v>
      </c>
      <c r="H22" s="97">
        <v>4</v>
      </c>
      <c r="I22" s="100">
        <f t="shared" si="6"/>
        <v>0.75</v>
      </c>
      <c r="J22" s="97">
        <f>Table1[[#This Row],[ÅR]]</f>
        <v>2026</v>
      </c>
      <c r="K22" s="97">
        <v>2007</v>
      </c>
      <c r="L22" s="97">
        <f>Table1[[#This Row],[ÅR]]-Table1[[#This Row],[FÖDD]]</f>
        <v>19</v>
      </c>
      <c r="M22" s="97">
        <v>4</v>
      </c>
      <c r="N22" s="97">
        <f>SUMIF(B:B,Table1[[#This Row],[Namn]],C:C)</f>
        <v>43</v>
      </c>
      <c r="O22" s="97">
        <f>COUNTIF(B:B,Table1[[#This Row],[Namn]])</f>
        <v>5</v>
      </c>
      <c r="P22" s="97">
        <f>SUMIF(B:B,Table1[[#This Row],[Namn]],G:G)</f>
        <v>14</v>
      </c>
      <c r="Q22" s="97">
        <f>SUMIF(B:B,Table1[[#This Row],[Namn]],E:E)</f>
        <v>1</v>
      </c>
      <c r="R22" s="97">
        <f>SUMIF(B:B,Table1[[#This Row],[Namn]],F:F)</f>
        <v>0</v>
      </c>
      <c r="U22" s="97">
        <f>Tabell16[[#This Row],[X]]+Tabell16[[#This Row],[TRUPP]]</f>
        <v>0</v>
      </c>
      <c r="V22" s="97">
        <f>SUMIF(Table1[Namn],Tabell16[[#This Row],[Namn]],Table1[MAT])</f>
        <v>0</v>
      </c>
      <c r="Y22" s="103"/>
      <c r="Z22" s="108"/>
      <c r="AA22" s="136"/>
      <c r="AB22" s="136"/>
      <c r="AC22" s="136"/>
      <c r="AF22" s="137">
        <f>SUM(Tabell16[MÅL])</f>
        <v>0</v>
      </c>
      <c r="AS22" s="97"/>
      <c r="AW22" s="100"/>
    </row>
    <row r="23" spans="1:49" ht="10.8" customHeight="1" x14ac:dyDescent="0.25">
      <c r="A23" s="97">
        <v>2026</v>
      </c>
      <c r="B23" s="98" t="s">
        <v>24</v>
      </c>
      <c r="C23" s="97">
        <v>4</v>
      </c>
      <c r="D23" s="99">
        <f>IFERROR(Table1[[#This Row],[MAT]]/Table1[[#This Row],[LAG MATCH]],"")</f>
        <v>1</v>
      </c>
      <c r="E23" s="97">
        <v>0</v>
      </c>
      <c r="F23" s="97">
        <v>0</v>
      </c>
      <c r="G23" s="97">
        <v>1</v>
      </c>
      <c r="H23" s="97">
        <v>4</v>
      </c>
      <c r="I23" s="100">
        <f t="shared" si="6"/>
        <v>0.25</v>
      </c>
      <c r="J23" s="97">
        <f>Table1[[#This Row],[ÅR]]</f>
        <v>2026</v>
      </c>
      <c r="K23" s="97">
        <v>2009</v>
      </c>
      <c r="L23" s="97">
        <f>Table1[[#This Row],[ÅR]]-Table1[[#This Row],[FÖDD]]</f>
        <v>17</v>
      </c>
      <c r="M23" s="97">
        <v>4</v>
      </c>
      <c r="N23" s="97">
        <f>SUMIF(B:B,Table1[[#This Row],[Namn]],C:C)</f>
        <v>10</v>
      </c>
      <c r="O23" s="97">
        <f>COUNTIF(B:B,Table1[[#This Row],[Namn]])</f>
        <v>3</v>
      </c>
      <c r="P23" s="97">
        <f>SUMIF(B:B,Table1[[#This Row],[Namn]],G:G)</f>
        <v>1</v>
      </c>
      <c r="Q23" s="97">
        <f>SUMIF(B:B,Table1[[#This Row],[Namn]],E:E)</f>
        <v>0</v>
      </c>
      <c r="R23" s="97">
        <f>SUMIF(B:B,Table1[[#This Row],[Namn]],F:F)</f>
        <v>0</v>
      </c>
      <c r="U23" s="97">
        <f>Tabell16[[#This Row],[X]]+Tabell16[[#This Row],[TRUPP]]</f>
        <v>0</v>
      </c>
      <c r="V23" s="97">
        <f>SUMIF(Table1[Namn],Tabell16[[#This Row],[Namn]],Table1[MAT])</f>
        <v>0</v>
      </c>
      <c r="Y23" s="103"/>
      <c r="Z23" s="108"/>
      <c r="AA23" s="136"/>
      <c r="AB23" s="136"/>
      <c r="AC23" s="136"/>
      <c r="AF23" s="137"/>
      <c r="AS23" s="97"/>
      <c r="AW23" s="100"/>
    </row>
    <row r="24" spans="1:49" ht="10.8" customHeight="1" x14ac:dyDescent="0.25">
      <c r="A24" s="97">
        <v>2026</v>
      </c>
      <c r="B24" s="98" t="s">
        <v>27</v>
      </c>
      <c r="C24" s="97">
        <v>4</v>
      </c>
      <c r="D24" s="99">
        <f>IFERROR(Table1[[#This Row],[MAT]]/Table1[[#This Row],[LAG MATCH]],"")</f>
        <v>1</v>
      </c>
      <c r="E24" s="97">
        <v>0</v>
      </c>
      <c r="F24" s="97">
        <v>0</v>
      </c>
      <c r="G24" s="97">
        <v>1</v>
      </c>
      <c r="H24" s="97">
        <v>4</v>
      </c>
      <c r="I24" s="100">
        <f t="shared" si="6"/>
        <v>0.25</v>
      </c>
      <c r="J24" s="97">
        <f>Table1[[#This Row],[ÅR]]</f>
        <v>2026</v>
      </c>
      <c r="K24" s="97">
        <v>2002</v>
      </c>
      <c r="L24" s="97">
        <f>Table1[[#This Row],[ÅR]]-Table1[[#This Row],[FÖDD]]</f>
        <v>24</v>
      </c>
      <c r="M24" s="97">
        <v>4</v>
      </c>
      <c r="N24" s="97">
        <f>SUMIF(B:B,Table1[[#This Row],[Namn]],C:C)</f>
        <v>4</v>
      </c>
      <c r="O24" s="97">
        <f>COUNTIF(B:B,Table1[[#This Row],[Namn]])</f>
        <v>1</v>
      </c>
      <c r="P24" s="97">
        <f>SUMIF(B:B,Table1[[#This Row],[Namn]],G:G)</f>
        <v>1</v>
      </c>
      <c r="Q24" s="97">
        <f>SUMIF(B:B,Table1[[#This Row],[Namn]],E:E)</f>
        <v>0</v>
      </c>
      <c r="R24" s="97">
        <f>SUMIF(B:B,Table1[[#This Row],[Namn]],F:F)</f>
        <v>0</v>
      </c>
      <c r="U24" s="97">
        <f>Tabell16[[#This Row],[X]]+Tabell16[[#This Row],[TRUPP]]</f>
        <v>0</v>
      </c>
      <c r="V24" s="97">
        <f>SUMIF(Table1[Namn],Tabell16[[#This Row],[Namn]],Table1[MAT])</f>
        <v>0</v>
      </c>
      <c r="Y24" s="103"/>
      <c r="Z24" s="108"/>
      <c r="AA24" s="136"/>
      <c r="AB24" s="136"/>
      <c r="AC24" s="136"/>
      <c r="AF24" s="137"/>
      <c r="AS24" s="100"/>
      <c r="AW24" s="100"/>
    </row>
    <row r="25" spans="1:49" ht="10.8" customHeight="1" x14ac:dyDescent="0.25">
      <c r="A25" s="97">
        <v>2026</v>
      </c>
      <c r="B25" s="98" t="s">
        <v>32</v>
      </c>
      <c r="C25" s="97">
        <v>4</v>
      </c>
      <c r="D25" s="99">
        <f>IFERROR(Table1[[#This Row],[MAT]]/Table1[[#This Row],[LAG MATCH]],"")</f>
        <v>1</v>
      </c>
      <c r="E25" s="97">
        <v>1</v>
      </c>
      <c r="F25" s="97">
        <v>0</v>
      </c>
      <c r="G25" s="97">
        <v>1</v>
      </c>
      <c r="H25" s="97">
        <v>4</v>
      </c>
      <c r="I25" s="100">
        <f t="shared" si="6"/>
        <v>0.25</v>
      </c>
      <c r="J25" s="97">
        <f>Table1[[#This Row],[ÅR]]</f>
        <v>2026</v>
      </c>
      <c r="K25" s="97">
        <v>2003</v>
      </c>
      <c r="L25" s="97">
        <f>Table1[[#This Row],[ÅR]]-Table1[[#This Row],[FÖDD]]</f>
        <v>23</v>
      </c>
      <c r="M25" s="97">
        <v>4</v>
      </c>
      <c r="N25" s="97">
        <f>SUMIF(B:B,Table1[[#This Row],[Namn]],C:C)</f>
        <v>29</v>
      </c>
      <c r="O25" s="97">
        <f>COUNTIF(B:B,Table1[[#This Row],[Namn]])</f>
        <v>2</v>
      </c>
      <c r="P25" s="97">
        <f>SUMIF(B:B,Table1[[#This Row],[Namn]],G:G)</f>
        <v>6</v>
      </c>
      <c r="Q25" s="97">
        <f>SUMIF(B:B,Table1[[#This Row],[Namn]],E:E)</f>
        <v>12</v>
      </c>
      <c r="R25" s="97">
        <f>SUMIF(B:B,Table1[[#This Row],[Namn]],F:F)</f>
        <v>0</v>
      </c>
      <c r="U25" s="97">
        <f>Tabell16[[#This Row],[X]]+Tabell16[[#This Row],[TRUPP]]</f>
        <v>0</v>
      </c>
      <c r="V25" s="97">
        <f>SUMIF(Table1[Namn],Tabell16[[#This Row],[Namn]],Table1[MAT])</f>
        <v>0</v>
      </c>
      <c r="Y25" s="103"/>
      <c r="Z25" s="108"/>
      <c r="AA25" s="136"/>
      <c r="AB25" s="136"/>
      <c r="AC25" s="136"/>
      <c r="AF25" s="137"/>
      <c r="AW25" s="100"/>
    </row>
    <row r="26" spans="1:49" ht="10.8" customHeight="1" x14ac:dyDescent="0.25">
      <c r="A26" s="97">
        <v>2026</v>
      </c>
      <c r="B26" s="98" t="s">
        <v>25</v>
      </c>
      <c r="C26" s="97">
        <v>4</v>
      </c>
      <c r="D26" s="99">
        <f>IFERROR(Table1[[#This Row],[MAT]]/Table1[[#This Row],[LAG MATCH]],"")</f>
        <v>1</v>
      </c>
      <c r="E26" s="97">
        <v>0</v>
      </c>
      <c r="F26" s="97">
        <v>0</v>
      </c>
      <c r="G26" s="97">
        <v>1</v>
      </c>
      <c r="H26" s="97">
        <v>4</v>
      </c>
      <c r="I26" s="100">
        <f t="shared" si="6"/>
        <v>0.25</v>
      </c>
      <c r="J26" s="97">
        <f>Table1[[#This Row],[ÅR]]</f>
        <v>2026</v>
      </c>
      <c r="K26" s="97">
        <v>2002</v>
      </c>
      <c r="L26" s="97">
        <f>Table1[[#This Row],[ÅR]]-Table1[[#This Row],[FÖDD]]</f>
        <v>24</v>
      </c>
      <c r="M26" s="97">
        <v>4</v>
      </c>
      <c r="N26" s="97">
        <f>SUMIF(B:B,Table1[[#This Row],[Namn]],C:C)</f>
        <v>4</v>
      </c>
      <c r="O26" s="97">
        <f>COUNTIF(B:B,Table1[[#This Row],[Namn]])</f>
        <v>1</v>
      </c>
      <c r="P26" s="97">
        <f>SUMIF(B:B,Table1[[#This Row],[Namn]],G:G)</f>
        <v>1</v>
      </c>
      <c r="Q26" s="97">
        <f>SUMIF(B:B,Table1[[#This Row],[Namn]],E:E)</f>
        <v>0</v>
      </c>
      <c r="R26" s="97">
        <f>SUMIF(B:B,Table1[[#This Row],[Namn]],F:F)</f>
        <v>0</v>
      </c>
      <c r="U26" s="97">
        <f>Tabell16[[#This Row],[X]]+Tabell16[[#This Row],[TRUPP]]</f>
        <v>0</v>
      </c>
      <c r="V26" s="97">
        <f>SUMIF(Table1[Namn],Tabell16[[#This Row],[Namn]],Table1[MAT])</f>
        <v>0</v>
      </c>
      <c r="Y26" s="103"/>
      <c r="Z26" s="108"/>
      <c r="AA26" s="136"/>
      <c r="AB26" s="136"/>
      <c r="AC26" s="136"/>
      <c r="AF26" s="137"/>
      <c r="AW26" s="100"/>
    </row>
    <row r="27" spans="1:49" x14ac:dyDescent="0.25">
      <c r="A27" s="97">
        <v>2026</v>
      </c>
      <c r="B27" s="98" t="s">
        <v>26</v>
      </c>
      <c r="C27" s="97">
        <v>4</v>
      </c>
      <c r="D27" s="99">
        <f>IFERROR(Table1[[#This Row],[MAT]]/Table1[[#This Row],[LAG MATCH]],"")</f>
        <v>1</v>
      </c>
      <c r="E27" s="97">
        <v>0</v>
      </c>
      <c r="F27" s="97">
        <v>0</v>
      </c>
      <c r="G27" s="97">
        <v>0</v>
      </c>
      <c r="H27" s="97">
        <v>4</v>
      </c>
      <c r="I27" s="100">
        <f t="shared" si="6"/>
        <v>0</v>
      </c>
      <c r="J27" s="97">
        <f>Table1[[#This Row],[ÅR]]</f>
        <v>2026</v>
      </c>
      <c r="K27" s="97">
        <v>2007</v>
      </c>
      <c r="L27" s="97">
        <f>Table1[[#This Row],[ÅR]]-Table1[[#This Row],[FÖDD]]</f>
        <v>19</v>
      </c>
      <c r="M27" s="97">
        <v>4</v>
      </c>
      <c r="N27" s="97">
        <f>SUMIF(B:B,Table1[[#This Row],[Namn]],C:C)</f>
        <v>16</v>
      </c>
      <c r="O27" s="97">
        <f>COUNTIF(B:B,Table1[[#This Row],[Namn]])</f>
        <v>4</v>
      </c>
      <c r="P27" s="97">
        <f>SUMIF(B:B,Table1[[#This Row],[Namn]],G:G)</f>
        <v>0</v>
      </c>
      <c r="Q27" s="97">
        <f>SUMIF(B:B,Table1[[#This Row],[Namn]],E:E)</f>
        <v>0</v>
      </c>
      <c r="R27" s="97">
        <f>SUMIF(B:B,Table1[[#This Row],[Namn]],F:F)</f>
        <v>0</v>
      </c>
      <c r="U27" s="97">
        <f>Tabell16[[#This Row],[X]]+Tabell16[[#This Row],[TRUPP]]</f>
        <v>0</v>
      </c>
      <c r="V27" s="97">
        <f>SUMIF(Table1[Namn],Tabell16[[#This Row],[Namn]],Table1[MAT])</f>
        <v>0</v>
      </c>
      <c r="Y27" s="103"/>
      <c r="Z27" s="105"/>
      <c r="AW27" s="100"/>
    </row>
    <row r="28" spans="1:49" x14ac:dyDescent="0.25">
      <c r="A28" s="97">
        <v>2026</v>
      </c>
      <c r="B28" s="98" t="s">
        <v>28</v>
      </c>
      <c r="C28" s="97">
        <v>4</v>
      </c>
      <c r="D28" s="99">
        <f>IFERROR(Table1[[#This Row],[MAT]]/Table1[[#This Row],[LAG MATCH]],"")</f>
        <v>1</v>
      </c>
      <c r="E28" s="97">
        <v>0</v>
      </c>
      <c r="F28" s="97">
        <v>0</v>
      </c>
      <c r="G28" s="97">
        <v>0</v>
      </c>
      <c r="H28" s="97">
        <v>4</v>
      </c>
      <c r="I28" s="100">
        <f t="shared" si="6"/>
        <v>0</v>
      </c>
      <c r="J28" s="97">
        <f>Table1[[#This Row],[ÅR]]</f>
        <v>2026</v>
      </c>
      <c r="K28" s="97">
        <v>2007</v>
      </c>
      <c r="L28" s="97">
        <f>Table1[[#This Row],[ÅR]]-Table1[[#This Row],[FÖDD]]</f>
        <v>19</v>
      </c>
      <c r="M28" s="97">
        <v>4</v>
      </c>
      <c r="N28" s="97">
        <f>SUMIF(B:B,Table1[[#This Row],[Namn]],C:C)</f>
        <v>41</v>
      </c>
      <c r="O28" s="97">
        <f>COUNTIF(B:B,Table1[[#This Row],[Namn]])</f>
        <v>4</v>
      </c>
      <c r="P28" s="97">
        <f>SUMIF(B:B,Table1[[#This Row],[Namn]],G:G)</f>
        <v>5</v>
      </c>
      <c r="Q28" s="97">
        <f>SUMIF(B:B,Table1[[#This Row],[Namn]],E:E)</f>
        <v>0</v>
      </c>
      <c r="R28" s="97">
        <f>SUMIF(B:B,Table1[[#This Row],[Namn]],F:F)</f>
        <v>0</v>
      </c>
      <c r="U28" s="97">
        <f>Tabell16[[#This Row],[X]]+Tabell16[[#This Row],[TRUPP]]</f>
        <v>0</v>
      </c>
      <c r="V28" s="97">
        <f>SUMIF(Table1[Namn],Tabell16[[#This Row],[Namn]],Table1[MAT])</f>
        <v>0</v>
      </c>
      <c r="Y28" s="103"/>
      <c r="Z28" s="105"/>
      <c r="AW28" s="100"/>
    </row>
    <row r="29" spans="1:49" x14ac:dyDescent="0.25">
      <c r="A29" s="97">
        <v>2026</v>
      </c>
      <c r="B29" s="98" t="s">
        <v>31</v>
      </c>
      <c r="C29" s="97">
        <v>4</v>
      </c>
      <c r="D29" s="99">
        <f>IFERROR(Table1[[#This Row],[MAT]]/Table1[[#This Row],[LAG MATCH]],"")</f>
        <v>1</v>
      </c>
      <c r="E29" s="97">
        <v>0</v>
      </c>
      <c r="F29" s="97">
        <v>0</v>
      </c>
      <c r="G29" s="97">
        <v>0</v>
      </c>
      <c r="H29" s="97">
        <v>4</v>
      </c>
      <c r="I29" s="100">
        <f t="shared" si="6"/>
        <v>0</v>
      </c>
      <c r="J29" s="97">
        <f>Table1[[#This Row],[ÅR]]</f>
        <v>2026</v>
      </c>
      <c r="K29" s="97">
        <v>1985</v>
      </c>
      <c r="L29" s="97">
        <f>Table1[[#This Row],[ÅR]]-Table1[[#This Row],[FÖDD]]</f>
        <v>41</v>
      </c>
      <c r="M29" s="97">
        <v>4</v>
      </c>
      <c r="N29" s="97">
        <f>SUMIF(B:B,Table1[[#This Row],[Namn]],C:C)</f>
        <v>25</v>
      </c>
      <c r="O29" s="97">
        <f>COUNTIF(B:B,Table1[[#This Row],[Namn]])</f>
        <v>3</v>
      </c>
      <c r="P29" s="97">
        <f>SUMIF(B:B,Table1[[#This Row],[Namn]],G:G)</f>
        <v>0</v>
      </c>
      <c r="Q29" s="97">
        <f>SUMIF(B:B,Table1[[#This Row],[Namn]],E:E)</f>
        <v>0</v>
      </c>
      <c r="R29" s="97">
        <f>SUMIF(B:B,Table1[[#This Row],[Namn]],F:F)</f>
        <v>0</v>
      </c>
      <c r="U29" s="97">
        <f>Tabell16[[#This Row],[X]]+Tabell16[[#This Row],[TRUPP]]</f>
        <v>0</v>
      </c>
      <c r="V29" s="97">
        <f>SUMIF(Table1[Namn],Tabell16[[#This Row],[Namn]],Table1[MAT])</f>
        <v>0</v>
      </c>
      <c r="Y29" s="103"/>
      <c r="Z29" s="105"/>
      <c r="AW29" s="100"/>
    </row>
    <row r="30" spans="1:49" x14ac:dyDescent="0.25">
      <c r="A30" s="97">
        <v>2026</v>
      </c>
      <c r="B30" s="98" t="s">
        <v>33</v>
      </c>
      <c r="C30" s="97">
        <v>4</v>
      </c>
      <c r="D30" s="99">
        <f>IFERROR(Table1[[#This Row],[MAT]]/Table1[[#This Row],[LAG MATCH]],"")</f>
        <v>1</v>
      </c>
      <c r="E30" s="97">
        <v>0</v>
      </c>
      <c r="F30" s="97">
        <v>0</v>
      </c>
      <c r="G30" s="97">
        <v>0</v>
      </c>
      <c r="H30" s="97">
        <v>4</v>
      </c>
      <c r="I30" s="100">
        <f t="shared" si="6"/>
        <v>0</v>
      </c>
      <c r="J30" s="97">
        <f>Table1[[#This Row],[ÅR]]</f>
        <v>2026</v>
      </c>
      <c r="K30" s="97">
        <v>1999</v>
      </c>
      <c r="L30" s="97">
        <f>Table1[[#This Row],[ÅR]]-Table1[[#This Row],[FÖDD]]</f>
        <v>27</v>
      </c>
      <c r="M30" s="97">
        <v>4</v>
      </c>
      <c r="N30" s="97">
        <f>SUMIF(B:B,Table1[[#This Row],[Namn]],C:C)</f>
        <v>36</v>
      </c>
      <c r="O30" s="97">
        <f>COUNTIF(B:B,Table1[[#This Row],[Namn]])</f>
        <v>5</v>
      </c>
      <c r="P30" s="97">
        <f>SUMIF(B:B,Table1[[#This Row],[Namn]],G:G)</f>
        <v>0</v>
      </c>
      <c r="Q30" s="97">
        <f>SUMIF(B:B,Table1[[#This Row],[Namn]],E:E)</f>
        <v>1</v>
      </c>
      <c r="R30" s="97">
        <f>SUMIF(B:B,Table1[[#This Row],[Namn]],F:F)</f>
        <v>0</v>
      </c>
      <c r="U30" s="97">
        <f>Tabell16[[#This Row],[X]]+Tabell16[[#This Row],[TRUPP]]</f>
        <v>0</v>
      </c>
      <c r="V30" s="97">
        <f>SUMIF(Table1[Namn],Tabell16[[#This Row],[Namn]],Table1[MAT])</f>
        <v>0</v>
      </c>
      <c r="Z30" s="105"/>
      <c r="AW30" s="100"/>
    </row>
    <row r="31" spans="1:49" x14ac:dyDescent="0.25">
      <c r="A31" s="97">
        <v>2026</v>
      </c>
      <c r="B31" s="98" t="s">
        <v>42</v>
      </c>
      <c r="C31" s="97">
        <v>4</v>
      </c>
      <c r="D31" s="99">
        <f>IFERROR(Table1[[#This Row],[MAT]]/Table1[[#This Row],[LAG MATCH]],"")</f>
        <v>1</v>
      </c>
      <c r="E31" s="97">
        <v>0</v>
      </c>
      <c r="F31" s="97">
        <v>0</v>
      </c>
      <c r="G31" s="97">
        <v>0</v>
      </c>
      <c r="H31" s="97">
        <v>4</v>
      </c>
      <c r="I31" s="100">
        <f t="shared" si="6"/>
        <v>0</v>
      </c>
      <c r="J31" s="97">
        <f>Table1[[#This Row],[ÅR]]</f>
        <v>2026</v>
      </c>
      <c r="K31" s="97">
        <v>2008</v>
      </c>
      <c r="L31" s="97">
        <f>Table1[[#This Row],[ÅR]]-Table1[[#This Row],[FÖDD]]</f>
        <v>18</v>
      </c>
      <c r="M31" s="97">
        <v>4</v>
      </c>
      <c r="N31" s="97">
        <f>SUMIF(B:B,Table1[[#This Row],[Namn]],C:C)</f>
        <v>11</v>
      </c>
      <c r="O31" s="97">
        <f>COUNTIF(B:B,Table1[[#This Row],[Namn]])</f>
        <v>3</v>
      </c>
      <c r="P31" s="97">
        <f>SUMIF(B:B,Table1[[#This Row],[Namn]],G:G)</f>
        <v>0</v>
      </c>
      <c r="Q31" s="97">
        <f>SUMIF(B:B,Table1[[#This Row],[Namn]],E:E)</f>
        <v>0</v>
      </c>
      <c r="R31" s="97">
        <f>SUMIF(B:B,Table1[[#This Row],[Namn]],F:F)</f>
        <v>0</v>
      </c>
      <c r="U31" s="97">
        <f>Tabell16[[#This Row],[X]]+Tabell16[[#This Row],[TRUPP]]</f>
        <v>0</v>
      </c>
      <c r="V31" s="97">
        <f>SUMIF(Table1[Namn],Tabell16[[#This Row],[Namn]],Table1[MAT])</f>
        <v>0</v>
      </c>
      <c r="Z31" s="105"/>
      <c r="AW31" s="100"/>
    </row>
    <row r="32" spans="1:49" x14ac:dyDescent="0.25">
      <c r="A32" s="97">
        <v>2026</v>
      </c>
      <c r="B32" s="98" t="s">
        <v>43</v>
      </c>
      <c r="C32" s="97">
        <v>3</v>
      </c>
      <c r="D32" s="99">
        <f>IFERROR(Table1[[#This Row],[MAT]]/Table1[[#This Row],[LAG MATCH]],"")</f>
        <v>0.75</v>
      </c>
      <c r="E32" s="97">
        <v>0</v>
      </c>
      <c r="F32" s="97">
        <v>0</v>
      </c>
      <c r="G32" s="97">
        <v>6</v>
      </c>
      <c r="H32" s="97">
        <v>4</v>
      </c>
      <c r="I32" s="100">
        <f t="shared" si="6"/>
        <v>2</v>
      </c>
      <c r="J32" s="97">
        <f>Table1[[#This Row],[ÅR]]</f>
        <v>2026</v>
      </c>
      <c r="K32" s="97">
        <v>2002</v>
      </c>
      <c r="L32" s="97">
        <f>Table1[[#This Row],[ÅR]]-Table1[[#This Row],[FÖDD]]</f>
        <v>24</v>
      </c>
      <c r="M32" s="97">
        <v>4</v>
      </c>
      <c r="N32" s="97">
        <f>SUMIF(B:B,Table1[[#This Row],[Namn]],C:C)</f>
        <v>53</v>
      </c>
      <c r="O32" s="97">
        <f>COUNTIF(B:B,Table1[[#This Row],[Namn]])</f>
        <v>5</v>
      </c>
      <c r="P32" s="97">
        <f>SUMIF(B:B,Table1[[#This Row],[Namn]],G:G)</f>
        <v>25</v>
      </c>
      <c r="Q32" s="97">
        <f>SUMIF(B:B,Table1[[#This Row],[Namn]],E:E)</f>
        <v>3</v>
      </c>
      <c r="R32" s="97">
        <f>SUMIF(B:B,Table1[[#This Row],[Namn]],F:F)</f>
        <v>0</v>
      </c>
      <c r="U32" s="97">
        <f>Tabell16[[#This Row],[X]]+Tabell16[[#This Row],[TRUPP]]</f>
        <v>0</v>
      </c>
      <c r="V32" s="97">
        <f>SUMIF(Table1[Namn],Tabell16[[#This Row],[Namn]],Table1[MAT])</f>
        <v>0</v>
      </c>
      <c r="Z32" s="105"/>
      <c r="AW32" s="100"/>
    </row>
    <row r="33" spans="1:49" x14ac:dyDescent="0.25">
      <c r="A33" s="97">
        <v>2026</v>
      </c>
      <c r="B33" s="98" t="s">
        <v>383</v>
      </c>
      <c r="C33" s="97">
        <v>2</v>
      </c>
      <c r="D33" s="99">
        <f>IFERROR(Table1[[#This Row],[MAT]]/Table1[[#This Row],[LAG MATCH]],"")</f>
        <v>0.5</v>
      </c>
      <c r="E33" s="97">
        <v>0</v>
      </c>
      <c r="F33" s="97">
        <v>0</v>
      </c>
      <c r="G33" s="97">
        <v>2</v>
      </c>
      <c r="H33" s="97">
        <v>4</v>
      </c>
      <c r="I33" s="100">
        <f t="shared" si="6"/>
        <v>1</v>
      </c>
      <c r="J33" s="97">
        <f>Table1[[#This Row],[ÅR]]</f>
        <v>2026</v>
      </c>
      <c r="K33" s="97">
        <v>2011</v>
      </c>
      <c r="L33" s="97">
        <f>Table1[[#This Row],[SENASTE]]-Table1[[#This Row],[FÖDD]]</f>
        <v>15</v>
      </c>
      <c r="M33" s="97">
        <v>4</v>
      </c>
      <c r="N33" s="97">
        <f>SUMIF(B:B,Table1[[#This Row],[Namn]],C:C)</f>
        <v>2</v>
      </c>
      <c r="O33" s="97">
        <f>COUNTIF(B:B,Table1[[#This Row],[Namn]])</f>
        <v>1</v>
      </c>
      <c r="P33" s="97">
        <f>SUMIF(B:B,Table1[[#This Row],[Namn]],G:G)</f>
        <v>2</v>
      </c>
      <c r="Q33" s="97">
        <f>SUMIF(B:B,Table1[[#This Row],[Namn]],E:E)</f>
        <v>0</v>
      </c>
      <c r="R33" s="97">
        <f>SUMIF(B:B,Table1[[#This Row],[Namn]],F:F)</f>
        <v>0</v>
      </c>
      <c r="U33" s="97">
        <f>Tabell16[[#This Row],[X]]+Tabell16[[#This Row],[TRUPP]]</f>
        <v>0</v>
      </c>
      <c r="V33" s="97">
        <f>SUMIF(Table1[Namn],Tabell16[[#This Row],[Namn]],Table1[MAT])</f>
        <v>0</v>
      </c>
      <c r="Z33" s="105"/>
      <c r="AW33" s="100"/>
    </row>
    <row r="34" spans="1:49" x14ac:dyDescent="0.25">
      <c r="A34" s="97">
        <v>2026</v>
      </c>
      <c r="B34" s="98" t="s">
        <v>37</v>
      </c>
      <c r="C34" s="97">
        <v>2</v>
      </c>
      <c r="D34" s="99">
        <f>IFERROR(Table1[[#This Row],[MAT]]/Table1[[#This Row],[LAG MATCH]],"")</f>
        <v>0.5</v>
      </c>
      <c r="E34" s="97">
        <v>0</v>
      </c>
      <c r="F34" s="97">
        <v>0</v>
      </c>
      <c r="G34" s="97">
        <v>0</v>
      </c>
      <c r="H34" s="97">
        <v>4</v>
      </c>
      <c r="I34" s="100">
        <f t="shared" si="6"/>
        <v>0</v>
      </c>
      <c r="J34" s="97">
        <f>Table1[[#This Row],[ÅR]]</f>
        <v>2026</v>
      </c>
      <c r="K34" s="97">
        <v>2007</v>
      </c>
      <c r="L34" s="97">
        <f>Table1[[#This Row],[ÅR]]-Table1[[#This Row],[FÖDD]]</f>
        <v>19</v>
      </c>
      <c r="M34" s="97">
        <v>4</v>
      </c>
      <c r="N34" s="97">
        <f>SUMIF(B:B,Table1[[#This Row],[Namn]],C:C)</f>
        <v>7</v>
      </c>
      <c r="O34" s="97">
        <f>COUNTIF(B:B,Table1[[#This Row],[Namn]])</f>
        <v>3</v>
      </c>
      <c r="P34" s="97">
        <f>SUMIF(B:B,Table1[[#This Row],[Namn]],G:G)</f>
        <v>0</v>
      </c>
      <c r="Q34" s="97">
        <f>SUMIF(B:B,Table1[[#This Row],[Namn]],E:E)</f>
        <v>0</v>
      </c>
      <c r="R34" s="97">
        <f>SUMIF(B:B,Table1[[#This Row],[Namn]],F:F)</f>
        <v>0</v>
      </c>
      <c r="U34" s="97">
        <f>Tabell16[[#This Row],[X]]+Tabell16[[#This Row],[TRUPP]]</f>
        <v>0</v>
      </c>
      <c r="V34" s="97">
        <f>SUMIF(Table1[Namn],Tabell16[[#This Row],[Namn]],Table1[MAT])</f>
        <v>0</v>
      </c>
      <c r="Z34" s="105"/>
      <c r="AW34" s="100"/>
    </row>
    <row r="35" spans="1:49" x14ac:dyDescent="0.25">
      <c r="A35" s="97">
        <v>2026</v>
      </c>
      <c r="B35" s="98" t="s">
        <v>38</v>
      </c>
      <c r="C35" s="97">
        <v>2</v>
      </c>
      <c r="D35" s="99">
        <f>IFERROR(Table1[[#This Row],[MAT]]/Table1[[#This Row],[LAG MATCH]],"")</f>
        <v>0.5</v>
      </c>
      <c r="E35" s="97">
        <v>1</v>
      </c>
      <c r="F35" s="97">
        <v>0</v>
      </c>
      <c r="G35" s="97">
        <v>0</v>
      </c>
      <c r="H35" s="97">
        <v>4</v>
      </c>
      <c r="I35" s="100">
        <f t="shared" si="6"/>
        <v>0</v>
      </c>
      <c r="J35" s="97">
        <f>Table1[[#This Row],[ÅR]]</f>
        <v>2026</v>
      </c>
      <c r="K35" s="97">
        <v>2006</v>
      </c>
      <c r="L35" s="97">
        <f>Table1[[#This Row],[ÅR]]-Table1[[#This Row],[FÖDD]]</f>
        <v>20</v>
      </c>
      <c r="M35" s="97">
        <v>4</v>
      </c>
      <c r="N35" s="97">
        <f>SUMIF(B:B,Table1[[#This Row],[Namn]],C:C)</f>
        <v>4</v>
      </c>
      <c r="O35" s="97">
        <f>COUNTIF(B:B,Table1[[#This Row],[Namn]])</f>
        <v>2</v>
      </c>
      <c r="P35" s="97">
        <f>SUMIF(B:B,Table1[[#This Row],[Namn]],G:G)</f>
        <v>0</v>
      </c>
      <c r="Q35" s="97">
        <f>SUMIF(B:B,Table1[[#This Row],[Namn]],E:E)</f>
        <v>1</v>
      </c>
      <c r="R35" s="97">
        <f>SUMIF(B:B,Table1[[#This Row],[Namn]],F:F)</f>
        <v>0</v>
      </c>
      <c r="U35" s="97">
        <f>Tabell16[[#This Row],[X]]+Tabell16[[#This Row],[TRUPP]]</f>
        <v>0</v>
      </c>
      <c r="V35" s="97">
        <f>SUMIF(Table1[Namn],Tabell16[[#This Row],[Namn]],Table1[MAT])</f>
        <v>0</v>
      </c>
      <c r="Y35" s="103"/>
      <c r="Z35" s="105"/>
      <c r="AW35" s="100"/>
    </row>
    <row r="36" spans="1:49" x14ac:dyDescent="0.25">
      <c r="A36" s="97">
        <v>2026</v>
      </c>
      <c r="B36" s="98" t="s">
        <v>41</v>
      </c>
      <c r="C36" s="97">
        <v>2</v>
      </c>
      <c r="D36" s="99">
        <f>IFERROR(Table1[[#This Row],[MAT]]/Table1[[#This Row],[LAG MATCH]],"")</f>
        <v>0.5</v>
      </c>
      <c r="E36" s="97">
        <v>0</v>
      </c>
      <c r="F36" s="97">
        <v>0</v>
      </c>
      <c r="G36" s="97">
        <v>0</v>
      </c>
      <c r="H36" s="97">
        <v>4</v>
      </c>
      <c r="I36" s="100">
        <f t="shared" si="6"/>
        <v>0</v>
      </c>
      <c r="J36" s="97">
        <f>Table1[[#This Row],[ÅR]]</f>
        <v>2026</v>
      </c>
      <c r="K36" s="97">
        <v>2005</v>
      </c>
      <c r="L36" s="97">
        <f>Table1[[#This Row],[ÅR]]-Table1[[#This Row],[FÖDD]]</f>
        <v>21</v>
      </c>
      <c r="M36" s="97">
        <v>4</v>
      </c>
      <c r="N36" s="97">
        <f>SUMIF(B:B,Table1[[#This Row],[Namn]],C:C)</f>
        <v>10</v>
      </c>
      <c r="O36" s="97">
        <f>COUNTIF(B:B,Table1[[#This Row],[Namn]])</f>
        <v>5</v>
      </c>
      <c r="P36" s="97">
        <f>SUMIF(B:B,Table1[[#This Row],[Namn]],G:G)</f>
        <v>0</v>
      </c>
      <c r="Q36" s="97">
        <f>SUMIF(B:B,Table1[[#This Row],[Namn]],E:E)</f>
        <v>0</v>
      </c>
      <c r="R36" s="97">
        <f>SUMIF(B:B,Table1[[#This Row],[Namn]],F:F)</f>
        <v>0</v>
      </c>
      <c r="U36" s="97">
        <f>Tabell16[[#This Row],[X]]+Tabell16[[#This Row],[TRUPP]]</f>
        <v>0</v>
      </c>
      <c r="V36" s="97">
        <f>SUMIF(Table1[Namn],Tabell16[[#This Row],[Namn]],Table1[MAT])</f>
        <v>0</v>
      </c>
      <c r="Y36" s="103"/>
      <c r="AW36" s="100"/>
    </row>
    <row r="37" spans="1:49" x14ac:dyDescent="0.25">
      <c r="A37" s="97">
        <v>2026</v>
      </c>
      <c r="B37" s="98" t="s">
        <v>409</v>
      </c>
      <c r="C37" s="97">
        <v>1</v>
      </c>
      <c r="D37" s="99">
        <f>IFERROR(Table1[[#This Row],[MAT]]/Table1[[#This Row],[LAG MATCH]],"")</f>
        <v>0.25</v>
      </c>
      <c r="E37" s="97">
        <v>0</v>
      </c>
      <c r="F37" s="97">
        <v>0</v>
      </c>
      <c r="G37" s="97">
        <v>0</v>
      </c>
      <c r="H37" s="97">
        <v>4</v>
      </c>
      <c r="I37" s="100">
        <f t="shared" si="6"/>
        <v>0</v>
      </c>
      <c r="J37" s="97">
        <f>Table1[[#This Row],[ÅR]]</f>
        <v>2026</v>
      </c>
      <c r="K37" s="97">
        <v>2011</v>
      </c>
      <c r="L37" s="97">
        <f>Table1[[#This Row],[SENASTE]]-Table1[[#This Row],[FÖDD]]</f>
        <v>15</v>
      </c>
      <c r="M37" s="97">
        <v>4</v>
      </c>
      <c r="N37" s="97">
        <f>SUMIF(B:B,Table1[[#This Row],[Namn]],C:C)</f>
        <v>1</v>
      </c>
      <c r="O37" s="97">
        <f>COUNTIF(B:B,Table1[[#This Row],[Namn]])</f>
        <v>1</v>
      </c>
      <c r="P37" s="97">
        <f>SUMIF(B:B,Table1[[#This Row],[Namn]],G:G)</f>
        <v>0</v>
      </c>
      <c r="Q37" s="97">
        <f>SUMIF(B:B,Table1[[#This Row],[Namn]],E:E)</f>
        <v>0</v>
      </c>
      <c r="R37" s="97">
        <f>SUMIF(B:B,Table1[[#This Row],[Namn]],F:F)</f>
        <v>0</v>
      </c>
      <c r="U37" s="97">
        <f>Tabell16[[#This Row],[X]]+Tabell16[[#This Row],[TRUPP]]</f>
        <v>0</v>
      </c>
      <c r="V37" s="97">
        <f>SUMIF(Table1[Namn],Tabell16[[#This Row],[Namn]],Table1[MAT])</f>
        <v>0</v>
      </c>
      <c r="Y37" s="103"/>
      <c r="AW37" s="100"/>
    </row>
    <row r="38" spans="1:49" x14ac:dyDescent="0.25">
      <c r="A38" s="97">
        <v>2026</v>
      </c>
      <c r="B38" s="98" t="s">
        <v>35</v>
      </c>
      <c r="C38" s="97">
        <v>0</v>
      </c>
      <c r="D38" s="99">
        <f>IFERROR(Table1[[#This Row],[MAT]]/Table1[[#This Row],[LAG MATCH]],"")</f>
        <v>0</v>
      </c>
      <c r="E38" s="97">
        <v>0</v>
      </c>
      <c r="F38" s="97">
        <v>0</v>
      </c>
      <c r="G38" s="97">
        <v>0</v>
      </c>
      <c r="H38" s="97">
        <v>4</v>
      </c>
      <c r="I38" s="100" t="str">
        <f t="shared" si="6"/>
        <v/>
      </c>
      <c r="J38" s="97">
        <f>Table1[[#This Row],[ÅR]]</f>
        <v>2026</v>
      </c>
      <c r="K38" s="97">
        <v>2010</v>
      </c>
      <c r="L38" s="97">
        <f>Table1[[#This Row],[ÅR]]-Table1[[#This Row],[FÖDD]]</f>
        <v>16</v>
      </c>
      <c r="M38" s="97">
        <v>4</v>
      </c>
      <c r="N38" s="97">
        <f>SUMIF(B:B,Table1[[#This Row],[Namn]],C:C)</f>
        <v>1</v>
      </c>
      <c r="O38" s="97">
        <f>COUNTIF(B:B,Table1[[#This Row],[Namn]])</f>
        <v>2</v>
      </c>
      <c r="P38" s="97">
        <f>SUMIF(B:B,Table1[[#This Row],[Namn]],G:G)</f>
        <v>0</v>
      </c>
      <c r="Q38" s="97">
        <f>SUMIF(B:B,Table1[[#This Row],[Namn]],E:E)</f>
        <v>0</v>
      </c>
      <c r="R38" s="97">
        <f>SUMIF(B:B,Table1[[#This Row],[Namn]],F:F)</f>
        <v>0</v>
      </c>
      <c r="U38" s="97">
        <f>Tabell16[[#This Row],[X]]+Tabell16[[#This Row],[TRUPP]]</f>
        <v>0</v>
      </c>
      <c r="V38" s="97">
        <f>SUMIF(Table1[Namn],Tabell16[[#This Row],[Namn]],Table1[MAT])</f>
        <v>0</v>
      </c>
      <c r="Y38" s="103"/>
      <c r="AW38" s="100"/>
    </row>
    <row r="39" spans="1:49" x14ac:dyDescent="0.25">
      <c r="A39" s="97">
        <v>2026</v>
      </c>
      <c r="B39" s="98" t="s">
        <v>36</v>
      </c>
      <c r="C39" s="97">
        <v>0</v>
      </c>
      <c r="D39" s="99">
        <f>IFERROR(Table1[[#This Row],[MAT]]/Table1[[#This Row],[LAG MATCH]],"")</f>
        <v>0</v>
      </c>
      <c r="E39" s="97">
        <v>0</v>
      </c>
      <c r="F39" s="97">
        <v>0</v>
      </c>
      <c r="G39" s="97">
        <v>0</v>
      </c>
      <c r="H39" s="97">
        <v>4</v>
      </c>
      <c r="I39" s="100" t="str">
        <f t="shared" si="6"/>
        <v/>
      </c>
      <c r="J39" s="97">
        <f>Table1[[#This Row],[ÅR]]</f>
        <v>2026</v>
      </c>
      <c r="K39" s="97">
        <v>2002</v>
      </c>
      <c r="L39" s="97">
        <f>Table1[[#This Row],[ÅR]]-Table1[[#This Row],[FÖDD]]</f>
        <v>24</v>
      </c>
      <c r="M39" s="97">
        <v>4</v>
      </c>
      <c r="N39" s="97">
        <f>SUMIF(B:B,Table1[[#This Row],[Namn]],C:C)</f>
        <v>63</v>
      </c>
      <c r="O39" s="97">
        <f>COUNTIF(B:B,Table1[[#This Row],[Namn]])</f>
        <v>5</v>
      </c>
      <c r="P39" s="97">
        <f>SUMIF(B:B,Table1[[#This Row],[Namn]],G:G)</f>
        <v>24</v>
      </c>
      <c r="Q39" s="97">
        <f>SUMIF(B:B,Table1[[#This Row],[Namn]],E:E)</f>
        <v>3</v>
      </c>
      <c r="R39" s="97">
        <f>SUMIF(B:B,Table1[[#This Row],[Namn]],F:F)</f>
        <v>0</v>
      </c>
      <c r="U39" s="97">
        <f>Tabell16[[#This Row],[X]]+Tabell16[[#This Row],[TRUPP]]</f>
        <v>0</v>
      </c>
      <c r="V39" s="97">
        <f>SUMIF(Table1[Namn],Tabell16[[#This Row],[Namn]],Table1[MAT])</f>
        <v>0</v>
      </c>
      <c r="Y39" s="103"/>
      <c r="AW39" s="100"/>
    </row>
    <row r="40" spans="1:49" x14ac:dyDescent="0.25">
      <c r="A40" s="97">
        <v>2026</v>
      </c>
      <c r="B40" s="98" t="s">
        <v>39</v>
      </c>
      <c r="C40" s="97">
        <v>0</v>
      </c>
      <c r="D40" s="99">
        <f>IFERROR(Table1[[#This Row],[MAT]]/Table1[[#This Row],[LAG MATCH]],"")</f>
        <v>0</v>
      </c>
      <c r="E40" s="97">
        <v>0</v>
      </c>
      <c r="F40" s="97">
        <v>0</v>
      </c>
      <c r="G40" s="97">
        <v>0</v>
      </c>
      <c r="H40" s="97">
        <v>4</v>
      </c>
      <c r="I40" s="100" t="str">
        <f t="shared" si="6"/>
        <v/>
      </c>
      <c r="J40" s="97">
        <f>Table1[[#This Row],[ÅR]]</f>
        <v>2026</v>
      </c>
      <c r="K40" s="97">
        <v>2002</v>
      </c>
      <c r="L40" s="97">
        <f>Table1[[#This Row],[ÅR]]-Table1[[#This Row],[FÖDD]]</f>
        <v>24</v>
      </c>
      <c r="M40" s="97">
        <v>4</v>
      </c>
      <c r="N40" s="97">
        <f>SUMIF(B:B,Table1[[#This Row],[Namn]],C:C)</f>
        <v>21</v>
      </c>
      <c r="O40" s="97">
        <f>COUNTIF(B:B,Table1[[#This Row],[Namn]])</f>
        <v>2</v>
      </c>
      <c r="P40" s="97">
        <f>SUMIF(B:B,Table1[[#This Row],[Namn]],G:G)</f>
        <v>1</v>
      </c>
      <c r="Q40" s="97">
        <f>SUMIF(B:B,Table1[[#This Row],[Namn]],E:E)</f>
        <v>2</v>
      </c>
      <c r="R40" s="97">
        <f>SUMIF(B:B,Table1[[#This Row],[Namn]],F:F)</f>
        <v>1</v>
      </c>
      <c r="U40" s="97">
        <f>Tabell16[[#This Row],[X]]+Tabell16[[#This Row],[TRUPP]]</f>
        <v>0</v>
      </c>
      <c r="V40" s="97">
        <f>SUMIF(Table1[Namn],Tabell16[[#This Row],[Namn]],Table1[MAT])</f>
        <v>0</v>
      </c>
      <c r="Y40" s="103"/>
      <c r="AW40" s="100"/>
    </row>
    <row r="41" spans="1:49" x14ac:dyDescent="0.25">
      <c r="A41" s="97">
        <v>2026</v>
      </c>
      <c r="B41" s="98" t="s">
        <v>40</v>
      </c>
      <c r="C41" s="97">
        <v>0</v>
      </c>
      <c r="D41" s="99">
        <f>IFERROR(Table1[[#This Row],[MAT]]/Table1[[#This Row],[LAG MATCH]],"")</f>
        <v>0</v>
      </c>
      <c r="E41" s="97">
        <v>0</v>
      </c>
      <c r="F41" s="97">
        <v>0</v>
      </c>
      <c r="G41" s="97">
        <v>0</v>
      </c>
      <c r="H41" s="97">
        <v>4</v>
      </c>
      <c r="I41" s="100" t="str">
        <f t="shared" si="6"/>
        <v/>
      </c>
      <c r="J41" s="97">
        <f>Table1[[#This Row],[ÅR]]</f>
        <v>2026</v>
      </c>
      <c r="K41" s="97">
        <v>2007</v>
      </c>
      <c r="L41" s="97">
        <f>Table1[[#This Row],[ÅR]]-Table1[[#This Row],[FÖDD]]</f>
        <v>19</v>
      </c>
      <c r="M41" s="97">
        <v>4</v>
      </c>
      <c r="N41" s="97">
        <f>SUMIF(B:B,Table1[[#This Row],[Namn]],C:C)</f>
        <v>22</v>
      </c>
      <c r="O41" s="97">
        <f>COUNTIF(B:B,Table1[[#This Row],[Namn]])</f>
        <v>3</v>
      </c>
      <c r="P41" s="97">
        <f>SUMIF(B:B,Table1[[#This Row],[Namn]],G:G)</f>
        <v>4</v>
      </c>
      <c r="Q41" s="97">
        <f>SUMIF(B:B,Table1[[#This Row],[Namn]],E:E)</f>
        <v>0</v>
      </c>
      <c r="R41" s="97">
        <f>SUMIF(B:B,Table1[[#This Row],[Namn]],F:F)</f>
        <v>0</v>
      </c>
      <c r="U41" s="97">
        <f>Tabell16[[#This Row],[X]]+Tabell16[[#This Row],[TRUPP]]</f>
        <v>0</v>
      </c>
      <c r="V41" s="97">
        <f>SUMIF(Table1[Namn],Tabell16[[#This Row],[Namn]],Table1[MAT])</f>
        <v>0</v>
      </c>
      <c r="Y41" s="103"/>
      <c r="AW41" s="100"/>
    </row>
    <row r="42" spans="1:49" x14ac:dyDescent="0.25">
      <c r="A42" s="97">
        <v>2025</v>
      </c>
      <c r="B42" s="98" t="s">
        <v>40</v>
      </c>
      <c r="C42" s="97">
        <v>4</v>
      </c>
      <c r="D42" s="99">
        <f>IFERROR(Table1[[#This Row],[MAT]]/Table1[[#This Row],[LAG MATCH]],"")</f>
        <v>1</v>
      </c>
      <c r="E42" s="97">
        <v>0</v>
      </c>
      <c r="F42" s="97">
        <v>0</v>
      </c>
      <c r="G42" s="97">
        <v>1</v>
      </c>
      <c r="H42" s="97">
        <v>4</v>
      </c>
      <c r="I42" s="100">
        <f t="shared" si="6"/>
        <v>0.25</v>
      </c>
      <c r="J42" s="97">
        <f>Table1[[#This Row],[ÅR]]</f>
        <v>2025</v>
      </c>
      <c r="K42" s="97">
        <v>2007</v>
      </c>
      <c r="L42" s="97">
        <v>18</v>
      </c>
      <c r="M42" s="97">
        <v>2</v>
      </c>
      <c r="N42" s="97">
        <f>SUMIF(B:B,Table1[[#This Row],[Namn]],C:C)</f>
        <v>22</v>
      </c>
      <c r="O42" s="97">
        <f>COUNTIF(B:B,Table1[[#This Row],[Namn]])</f>
        <v>3</v>
      </c>
      <c r="P42" s="97">
        <f>SUMIF(B:B,Table1[[#This Row],[Namn]],G:G)</f>
        <v>4</v>
      </c>
      <c r="Q42" s="97">
        <f>SUMIF(B:B,Table1[[#This Row],[Namn]],E:E)</f>
        <v>0</v>
      </c>
      <c r="R42" s="97">
        <f>SUMIF(B:B,Table1[[#This Row],[Namn]],F:F)</f>
        <v>0</v>
      </c>
      <c r="Y42" s="103"/>
      <c r="AW42" s="100"/>
    </row>
    <row r="43" spans="1:49" x14ac:dyDescent="0.25">
      <c r="A43" s="97">
        <v>2025</v>
      </c>
      <c r="B43" s="98" t="s">
        <v>24</v>
      </c>
      <c r="C43" s="97">
        <v>4</v>
      </c>
      <c r="D43" s="99">
        <f>IFERROR(Table1[[#This Row],[MAT]]/Table1[[#This Row],[LAG MATCH]],"")</f>
        <v>1</v>
      </c>
      <c r="E43" s="97">
        <v>0</v>
      </c>
      <c r="F43" s="97">
        <v>0</v>
      </c>
      <c r="G43" s="97">
        <v>0</v>
      </c>
      <c r="H43" s="97">
        <v>4</v>
      </c>
      <c r="I43" s="100">
        <f t="shared" si="6"/>
        <v>0</v>
      </c>
      <c r="J43" s="97">
        <f>Table1[[#This Row],[ÅR]]</f>
        <v>2025</v>
      </c>
      <c r="K43" s="97">
        <v>2009</v>
      </c>
      <c r="L43" s="97">
        <v>16</v>
      </c>
      <c r="M43" s="97">
        <v>2</v>
      </c>
      <c r="N43" s="97">
        <f>SUMIF(B:B,Table1[[#This Row],[Namn]],C:C)</f>
        <v>10</v>
      </c>
      <c r="O43" s="97">
        <f>COUNTIF(B:B,Table1[[#This Row],[Namn]])</f>
        <v>3</v>
      </c>
      <c r="P43" s="97">
        <f>SUMIF(B:B,Table1[[#This Row],[Namn]],G:G)</f>
        <v>1</v>
      </c>
      <c r="Q43" s="97">
        <f>SUMIF(B:B,Table1[[#This Row],[Namn]],E:E)</f>
        <v>0</v>
      </c>
      <c r="R43" s="97">
        <f>SUMIF(B:B,Table1[[#This Row],[Namn]],F:F)</f>
        <v>0</v>
      </c>
      <c r="Y43" s="103"/>
      <c r="AW43" s="100"/>
    </row>
    <row r="44" spans="1:49" x14ac:dyDescent="0.25">
      <c r="A44" s="97">
        <v>2025</v>
      </c>
      <c r="B44" s="98" t="s">
        <v>44</v>
      </c>
      <c r="C44" s="97">
        <v>4</v>
      </c>
      <c r="D44" s="99">
        <f>IFERROR(Table1[[#This Row],[MAT]]/Table1[[#This Row],[LAG MATCH]],"")</f>
        <v>1</v>
      </c>
      <c r="E44" s="97">
        <v>0</v>
      </c>
      <c r="F44" s="97">
        <v>0</v>
      </c>
      <c r="G44" s="97">
        <v>0</v>
      </c>
      <c r="H44" s="97">
        <v>4</v>
      </c>
      <c r="I44" s="100">
        <f t="shared" si="6"/>
        <v>0</v>
      </c>
      <c r="J44" s="97">
        <f>Table1[[#This Row],[ÅR]]</f>
        <v>2025</v>
      </c>
      <c r="K44" s="97">
        <v>2006</v>
      </c>
      <c r="L44" s="97">
        <v>19</v>
      </c>
      <c r="M44" s="97">
        <v>2</v>
      </c>
      <c r="N44" s="97">
        <f>SUMIF(B:B,Table1[[#This Row],[Namn]],C:C)</f>
        <v>4</v>
      </c>
      <c r="O44" s="97">
        <f>COUNTIF(B:B,Table1[[#This Row],[Namn]])</f>
        <v>1</v>
      </c>
      <c r="P44" s="97">
        <f>SUMIF(B:B,Table1[[#This Row],[Namn]],G:G)</f>
        <v>0</v>
      </c>
      <c r="Q44" s="97">
        <f>SUMIF(B:B,Table1[[#This Row],[Namn]],E:E)</f>
        <v>0</v>
      </c>
      <c r="R44" s="97">
        <f>SUMIF(B:B,Table1[[#This Row],[Namn]],F:F)</f>
        <v>0</v>
      </c>
      <c r="Y44" s="103"/>
      <c r="AW44" s="100"/>
    </row>
    <row r="45" spans="1:49" x14ac:dyDescent="0.25">
      <c r="A45" s="97">
        <v>2025</v>
      </c>
      <c r="B45" s="98" t="s">
        <v>45</v>
      </c>
      <c r="C45" s="97">
        <v>3</v>
      </c>
      <c r="D45" s="99">
        <f>IFERROR(Table1[[#This Row],[MAT]]/Table1[[#This Row],[LAG MATCH]],"")</f>
        <v>0.75</v>
      </c>
      <c r="E45" s="97">
        <v>0</v>
      </c>
      <c r="F45" s="97">
        <v>0</v>
      </c>
      <c r="G45" s="97">
        <v>3</v>
      </c>
      <c r="H45" s="97">
        <v>4</v>
      </c>
      <c r="I45" s="100">
        <f t="shared" si="6"/>
        <v>1</v>
      </c>
      <c r="J45" s="97">
        <f>Table1[[#This Row],[ÅR]]</f>
        <v>2025</v>
      </c>
      <c r="K45" s="97">
        <v>2009</v>
      </c>
      <c r="L45" s="97">
        <v>16</v>
      </c>
      <c r="M45" s="97">
        <v>2</v>
      </c>
      <c r="N45" s="97">
        <f>SUMIF(B:B,Table1[[#This Row],[Namn]],C:C)</f>
        <v>4</v>
      </c>
      <c r="O45" s="97">
        <f>COUNTIF(B:B,Table1[[#This Row],[Namn]])</f>
        <v>2</v>
      </c>
      <c r="P45" s="97">
        <f>SUMIF(B:B,Table1[[#This Row],[Namn]],G:G)</f>
        <v>3</v>
      </c>
      <c r="Q45" s="97">
        <f>SUMIF(B:B,Table1[[#This Row],[Namn]],E:E)</f>
        <v>0</v>
      </c>
      <c r="R45" s="97">
        <f>SUMIF(B:B,Table1[[#This Row],[Namn]],F:F)</f>
        <v>0</v>
      </c>
      <c r="Y45" s="103"/>
      <c r="AW45" s="100"/>
    </row>
    <row r="46" spans="1:49" x14ac:dyDescent="0.25">
      <c r="A46" s="97">
        <v>2025</v>
      </c>
      <c r="B46" s="98" t="s">
        <v>46</v>
      </c>
      <c r="C46" s="97">
        <v>3</v>
      </c>
      <c r="D46" s="99">
        <f>IFERROR(Table1[[#This Row],[MAT]]/Table1[[#This Row],[LAG MATCH]],"")</f>
        <v>0.75</v>
      </c>
      <c r="E46" s="97">
        <v>0</v>
      </c>
      <c r="F46" s="97">
        <v>0</v>
      </c>
      <c r="G46" s="97">
        <v>1</v>
      </c>
      <c r="H46" s="97">
        <v>4</v>
      </c>
      <c r="I46" s="100">
        <f t="shared" si="6"/>
        <v>0.33333333333333331</v>
      </c>
      <c r="J46" s="97">
        <f>Table1[[#This Row],[ÅR]]</f>
        <v>2025</v>
      </c>
      <c r="K46" s="97">
        <v>2003</v>
      </c>
      <c r="L46" s="97">
        <v>22</v>
      </c>
      <c r="M46" s="97">
        <v>2</v>
      </c>
      <c r="N46" s="97">
        <f>SUMIF(B:B,Table1[[#This Row],[Namn]],C:C)</f>
        <v>7</v>
      </c>
      <c r="O46" s="97">
        <f>COUNTIF(B:B,Table1[[#This Row],[Namn]])</f>
        <v>2</v>
      </c>
      <c r="P46" s="97">
        <f>SUMIF(B:B,Table1[[#This Row],[Namn]],G:G)</f>
        <v>3</v>
      </c>
      <c r="Q46" s="97">
        <f>SUMIF(B:B,Table1[[#This Row],[Namn]],E:E)</f>
        <v>0</v>
      </c>
      <c r="R46" s="97">
        <f>SUMIF(B:B,Table1[[#This Row],[Namn]],F:F)</f>
        <v>0</v>
      </c>
      <c r="Y46" s="103"/>
      <c r="AW46" s="100"/>
    </row>
    <row r="47" spans="1:49" x14ac:dyDescent="0.25">
      <c r="A47" s="97">
        <v>2025</v>
      </c>
      <c r="B47" s="98" t="s">
        <v>47</v>
      </c>
      <c r="C47" s="97">
        <v>3</v>
      </c>
      <c r="D47" s="99">
        <f>IFERROR(Table1[[#This Row],[MAT]]/Table1[[#This Row],[LAG MATCH]],"")</f>
        <v>0.75</v>
      </c>
      <c r="E47" s="97">
        <v>0</v>
      </c>
      <c r="F47" s="97">
        <v>0</v>
      </c>
      <c r="G47" s="97">
        <v>1</v>
      </c>
      <c r="H47" s="97">
        <v>4</v>
      </c>
      <c r="I47" s="100">
        <f t="shared" si="6"/>
        <v>0.33333333333333331</v>
      </c>
      <c r="J47" s="97">
        <f>Table1[[#This Row],[ÅR]]</f>
        <v>2025</v>
      </c>
      <c r="K47" s="97">
        <v>2008</v>
      </c>
      <c r="L47" s="97">
        <v>17</v>
      </c>
      <c r="M47" s="97">
        <v>2</v>
      </c>
      <c r="N47" s="97">
        <f>SUMIF(B:B,Table1[[#This Row],[Namn]],C:C)</f>
        <v>4</v>
      </c>
      <c r="O47" s="97">
        <f>COUNTIF(B:B,Table1[[#This Row],[Namn]])</f>
        <v>2</v>
      </c>
      <c r="P47" s="97">
        <f>SUMIF(B:B,Table1[[#This Row],[Namn]],G:G)</f>
        <v>1</v>
      </c>
      <c r="Q47" s="97">
        <f>SUMIF(B:B,Table1[[#This Row],[Namn]],E:E)</f>
        <v>0</v>
      </c>
      <c r="R47" s="97">
        <f>SUMIF(B:B,Table1[[#This Row],[Namn]],F:F)</f>
        <v>0</v>
      </c>
      <c r="Y47" s="103"/>
      <c r="AW47" s="100"/>
    </row>
    <row r="48" spans="1:49" x14ac:dyDescent="0.25">
      <c r="A48" s="97">
        <v>2025</v>
      </c>
      <c r="B48" s="98" t="s">
        <v>48</v>
      </c>
      <c r="C48" s="97">
        <v>3</v>
      </c>
      <c r="D48" s="99">
        <f>IFERROR(Table1[[#This Row],[MAT]]/Table1[[#This Row],[LAG MATCH]],"")</f>
        <v>0.75</v>
      </c>
      <c r="E48" s="97">
        <v>0</v>
      </c>
      <c r="F48" s="97">
        <v>0</v>
      </c>
      <c r="G48" s="97">
        <v>1</v>
      </c>
      <c r="H48" s="97">
        <v>4</v>
      </c>
      <c r="I48" s="100">
        <f t="shared" si="6"/>
        <v>0.33333333333333331</v>
      </c>
      <c r="J48" s="97">
        <f>Table1[[#This Row],[ÅR]]</f>
        <v>2025</v>
      </c>
      <c r="K48" s="97">
        <v>1999</v>
      </c>
      <c r="L48" s="97">
        <v>26</v>
      </c>
      <c r="M48" s="97">
        <v>2</v>
      </c>
      <c r="N48" s="97">
        <f>SUMIF(B:B,Table1[[#This Row],[Namn]],C:C)</f>
        <v>24</v>
      </c>
      <c r="O48" s="97">
        <f>COUNTIF(B:B,Table1[[#This Row],[Namn]])</f>
        <v>2</v>
      </c>
      <c r="P48" s="97">
        <f>SUMIF(B:B,Table1[[#This Row],[Namn]],G:G)</f>
        <v>17</v>
      </c>
      <c r="Q48" s="97">
        <f>SUMIF(B:B,Table1[[#This Row],[Namn]],E:E)</f>
        <v>0</v>
      </c>
      <c r="R48" s="97">
        <f>SUMIF(B:B,Table1[[#This Row],[Namn]],F:F)</f>
        <v>0</v>
      </c>
      <c r="Y48" s="103"/>
      <c r="AW48" s="100"/>
    </row>
    <row r="49" spans="1:49" x14ac:dyDescent="0.25">
      <c r="A49" s="97">
        <v>2025</v>
      </c>
      <c r="B49" s="98" t="s">
        <v>42</v>
      </c>
      <c r="C49" s="97">
        <v>3</v>
      </c>
      <c r="D49" s="99">
        <f>IFERROR(Table1[[#This Row],[MAT]]/Table1[[#This Row],[LAG MATCH]],"")</f>
        <v>0.75</v>
      </c>
      <c r="E49" s="97">
        <v>0</v>
      </c>
      <c r="F49" s="97">
        <v>0</v>
      </c>
      <c r="G49" s="97">
        <v>0</v>
      </c>
      <c r="H49" s="97">
        <v>4</v>
      </c>
      <c r="I49" s="100">
        <f t="shared" si="6"/>
        <v>0</v>
      </c>
      <c r="J49" s="97">
        <f>Table1[[#This Row],[ÅR]]</f>
        <v>2025</v>
      </c>
      <c r="K49" s="97">
        <v>2008</v>
      </c>
      <c r="L49" s="97">
        <v>17</v>
      </c>
      <c r="M49" s="97">
        <v>2</v>
      </c>
      <c r="N49" s="97">
        <f>SUMIF(B:B,Table1[[#This Row],[Namn]],C:C)</f>
        <v>11</v>
      </c>
      <c r="O49" s="97">
        <f>COUNTIF(B:B,Table1[[#This Row],[Namn]])</f>
        <v>3</v>
      </c>
      <c r="P49" s="97">
        <f>SUMIF(B:B,Table1[[#This Row],[Namn]],G:G)</f>
        <v>0</v>
      </c>
      <c r="Q49" s="97">
        <f>SUMIF(B:B,Table1[[#This Row],[Namn]],E:E)</f>
        <v>0</v>
      </c>
      <c r="R49" s="97">
        <f>SUMIF(B:B,Table1[[#This Row],[Namn]],F:F)</f>
        <v>0</v>
      </c>
      <c r="Y49" s="103"/>
      <c r="AW49" s="100"/>
    </row>
    <row r="50" spans="1:49" x14ac:dyDescent="0.25">
      <c r="A50" s="97">
        <v>2025</v>
      </c>
      <c r="B50" s="98" t="s">
        <v>28</v>
      </c>
      <c r="C50" s="97">
        <v>3</v>
      </c>
      <c r="D50" s="99">
        <f>IFERROR(Table1[[#This Row],[MAT]]/Table1[[#This Row],[LAG MATCH]],"")</f>
        <v>0.75</v>
      </c>
      <c r="E50" s="97">
        <v>0</v>
      </c>
      <c r="F50" s="97">
        <v>0</v>
      </c>
      <c r="G50" s="97">
        <v>0</v>
      </c>
      <c r="H50" s="97">
        <v>4</v>
      </c>
      <c r="I50" s="100">
        <f t="shared" si="6"/>
        <v>0</v>
      </c>
      <c r="J50" s="97">
        <f>Table1[[#This Row],[ÅR]]</f>
        <v>2025</v>
      </c>
      <c r="K50" s="97">
        <v>2007</v>
      </c>
      <c r="L50" s="97">
        <v>18</v>
      </c>
      <c r="M50" s="97">
        <v>2</v>
      </c>
      <c r="N50" s="97">
        <f>SUMIF(B:B,Table1[[#This Row],[Namn]],C:C)</f>
        <v>41</v>
      </c>
      <c r="O50" s="97">
        <f>COUNTIF(B:B,Table1[[#This Row],[Namn]])</f>
        <v>4</v>
      </c>
      <c r="P50" s="97">
        <f>SUMIF(B:B,Table1[[#This Row],[Namn]],G:G)</f>
        <v>5</v>
      </c>
      <c r="Q50" s="97">
        <f>SUMIF(B:B,Table1[[#This Row],[Namn]],E:E)</f>
        <v>0</v>
      </c>
      <c r="R50" s="97">
        <f>SUMIF(B:B,Table1[[#This Row],[Namn]],F:F)</f>
        <v>0</v>
      </c>
      <c r="Y50" s="103"/>
      <c r="AW50" s="100"/>
    </row>
    <row r="51" spans="1:49" x14ac:dyDescent="0.25">
      <c r="A51" s="97">
        <v>2025</v>
      </c>
      <c r="B51" s="98" t="s">
        <v>49</v>
      </c>
      <c r="C51" s="97">
        <v>3</v>
      </c>
      <c r="D51" s="99">
        <f>IFERROR(Table1[[#This Row],[MAT]]/Table1[[#This Row],[LAG MATCH]],"")</f>
        <v>0.75</v>
      </c>
      <c r="E51" s="97">
        <v>0</v>
      </c>
      <c r="F51" s="97">
        <v>0</v>
      </c>
      <c r="G51" s="97">
        <v>0</v>
      </c>
      <c r="H51" s="97">
        <v>4</v>
      </c>
      <c r="I51" s="100">
        <f t="shared" si="6"/>
        <v>0</v>
      </c>
      <c r="J51" s="97">
        <f>Table1[[#This Row],[ÅR]]</f>
        <v>2025</v>
      </c>
      <c r="K51" s="97">
        <v>2007</v>
      </c>
      <c r="L51" s="97">
        <v>18</v>
      </c>
      <c r="M51" s="97">
        <v>2</v>
      </c>
      <c r="N51" s="97">
        <f>SUMIF(B:B,Table1[[#This Row],[Namn]],C:C)</f>
        <v>3</v>
      </c>
      <c r="O51" s="97">
        <f>COUNTIF(B:B,Table1[[#This Row],[Namn]])</f>
        <v>1</v>
      </c>
      <c r="P51" s="97">
        <f>SUMIF(B:B,Table1[[#This Row],[Namn]],G:G)</f>
        <v>0</v>
      </c>
      <c r="Q51" s="97">
        <f>SUMIF(B:B,Table1[[#This Row],[Namn]],E:E)</f>
        <v>0</v>
      </c>
      <c r="R51" s="97">
        <f>SUMIF(B:B,Table1[[#This Row],[Namn]],F:F)</f>
        <v>0</v>
      </c>
      <c r="Y51" s="103"/>
      <c r="AW51" s="100"/>
    </row>
    <row r="52" spans="1:49" x14ac:dyDescent="0.25">
      <c r="A52" s="97">
        <v>2025</v>
      </c>
      <c r="B52" s="98" t="s">
        <v>34</v>
      </c>
      <c r="C52" s="97">
        <v>2</v>
      </c>
      <c r="D52" s="99">
        <f>IFERROR(Table1[[#This Row],[MAT]]/Table1[[#This Row],[LAG MATCH]],"")</f>
        <v>0.5</v>
      </c>
      <c r="E52" s="97">
        <v>1</v>
      </c>
      <c r="F52" s="97">
        <v>0</v>
      </c>
      <c r="G52" s="97">
        <v>1</v>
      </c>
      <c r="H52" s="97">
        <v>4</v>
      </c>
      <c r="I52" s="100">
        <f t="shared" si="6"/>
        <v>0.5</v>
      </c>
      <c r="J52" s="97">
        <f>Table1[[#This Row],[ÅR]]</f>
        <v>2025</v>
      </c>
      <c r="K52" s="97">
        <v>1991</v>
      </c>
      <c r="L52" s="97">
        <v>34</v>
      </c>
      <c r="M52" s="97">
        <v>2</v>
      </c>
      <c r="N52" s="97">
        <f>SUMIF(B:B,Table1[[#This Row],[Namn]],C:C)</f>
        <v>138</v>
      </c>
      <c r="O52" s="97">
        <f>COUNTIF(B:B,Table1[[#This Row],[Namn]])</f>
        <v>9</v>
      </c>
      <c r="P52" s="97">
        <f>SUMIF(B:B,Table1[[#This Row],[Namn]],G:G)</f>
        <v>103</v>
      </c>
      <c r="Q52" s="97">
        <f>SUMIF(B:B,Table1[[#This Row],[Namn]],E:E)</f>
        <v>4</v>
      </c>
      <c r="R52" s="97">
        <f>SUMIF(B:B,Table1[[#This Row],[Namn]],F:F)</f>
        <v>0</v>
      </c>
      <c r="Y52" s="103"/>
      <c r="AW52" s="100"/>
    </row>
    <row r="53" spans="1:49" x14ac:dyDescent="0.25">
      <c r="A53" s="97">
        <v>2025</v>
      </c>
      <c r="B53" s="98" t="s">
        <v>30</v>
      </c>
      <c r="C53" s="97">
        <v>2</v>
      </c>
      <c r="D53" s="99">
        <f>IFERROR(Table1[[#This Row],[MAT]]/Table1[[#This Row],[LAG MATCH]],"")</f>
        <v>0.5</v>
      </c>
      <c r="E53" s="97">
        <v>0</v>
      </c>
      <c r="F53" s="97">
        <v>0</v>
      </c>
      <c r="G53" s="97">
        <v>1</v>
      </c>
      <c r="H53" s="97">
        <v>4</v>
      </c>
      <c r="I53" s="100">
        <f t="shared" si="6"/>
        <v>0.5</v>
      </c>
      <c r="J53" s="97">
        <f>Table1[[#This Row],[ÅR]]</f>
        <v>2025</v>
      </c>
      <c r="K53" s="97">
        <v>2005</v>
      </c>
      <c r="L53" s="97">
        <v>20</v>
      </c>
      <c r="M53" s="97">
        <v>2</v>
      </c>
      <c r="N53" s="97">
        <f>SUMIF(B:B,Table1[[#This Row],[Namn]],C:C)</f>
        <v>6</v>
      </c>
      <c r="O53" s="97">
        <f>COUNTIF(B:B,Table1[[#This Row],[Namn]])</f>
        <v>2</v>
      </c>
      <c r="P53" s="97">
        <f>SUMIF(B:B,Table1[[#This Row],[Namn]],G:G)</f>
        <v>5</v>
      </c>
      <c r="Q53" s="97">
        <f>SUMIF(B:B,Table1[[#This Row],[Namn]],E:E)</f>
        <v>0</v>
      </c>
      <c r="R53" s="97">
        <f>SUMIF(B:B,Table1[[#This Row],[Namn]],F:F)</f>
        <v>0</v>
      </c>
      <c r="Y53" s="103"/>
      <c r="AW53" s="100"/>
    </row>
    <row r="54" spans="1:49" x14ac:dyDescent="0.25">
      <c r="A54" s="97">
        <v>2025</v>
      </c>
      <c r="B54" s="98" t="s">
        <v>50</v>
      </c>
      <c r="C54" s="97">
        <v>2</v>
      </c>
      <c r="D54" s="99">
        <f>IFERROR(Table1[[#This Row],[MAT]]/Table1[[#This Row],[LAG MATCH]],"")</f>
        <v>0.5</v>
      </c>
      <c r="E54" s="97">
        <v>0</v>
      </c>
      <c r="F54" s="97">
        <v>0</v>
      </c>
      <c r="G54" s="97">
        <v>0</v>
      </c>
      <c r="H54" s="97">
        <v>4</v>
      </c>
      <c r="I54" s="100">
        <f t="shared" si="6"/>
        <v>0</v>
      </c>
      <c r="J54" s="97">
        <f>Table1[[#This Row],[ÅR]]</f>
        <v>2025</v>
      </c>
      <c r="K54" s="97">
        <v>1993</v>
      </c>
      <c r="L54" s="97">
        <v>32</v>
      </c>
      <c r="M54" s="97">
        <v>2</v>
      </c>
      <c r="N54" s="97">
        <f>SUMIF(B:B,Table1[[#This Row],[Namn]],C:C)</f>
        <v>92</v>
      </c>
      <c r="O54" s="97">
        <f>COUNTIF(B:B,Table1[[#This Row],[Namn]])</f>
        <v>7</v>
      </c>
      <c r="P54" s="97">
        <f>SUMIF(B:B,Table1[[#This Row],[Namn]],G:G)</f>
        <v>5</v>
      </c>
      <c r="Q54" s="97">
        <f>SUMIF(B:B,Table1[[#This Row],[Namn]],E:E)</f>
        <v>4</v>
      </c>
      <c r="R54" s="97">
        <f>SUMIF(B:B,Table1[[#This Row],[Namn]],F:F)</f>
        <v>0</v>
      </c>
      <c r="Y54" s="103"/>
      <c r="AW54" s="100"/>
    </row>
    <row r="55" spans="1:49" x14ac:dyDescent="0.25">
      <c r="A55" s="97">
        <v>2025</v>
      </c>
      <c r="B55" s="98" t="s">
        <v>51</v>
      </c>
      <c r="C55" s="97">
        <v>2</v>
      </c>
      <c r="D55" s="99">
        <f>IFERROR(Table1[[#This Row],[MAT]]/Table1[[#This Row],[LAG MATCH]],"")</f>
        <v>0.5</v>
      </c>
      <c r="E55" s="97">
        <v>0</v>
      </c>
      <c r="F55" s="97">
        <v>0</v>
      </c>
      <c r="G55" s="97">
        <v>0</v>
      </c>
      <c r="H55" s="97">
        <v>4</v>
      </c>
      <c r="I55" s="100">
        <f t="shared" si="6"/>
        <v>0</v>
      </c>
      <c r="J55" s="97">
        <f>Table1[[#This Row],[ÅR]]</f>
        <v>2025</v>
      </c>
      <c r="K55" s="97">
        <v>2006</v>
      </c>
      <c r="L55" s="97">
        <v>19</v>
      </c>
      <c r="M55" s="97">
        <v>2</v>
      </c>
      <c r="N55" s="97">
        <f>SUMIF(B:B,Table1[[#This Row],[Namn]],C:C)</f>
        <v>2</v>
      </c>
      <c r="O55" s="97">
        <f>COUNTIF(B:B,Table1[[#This Row],[Namn]])</f>
        <v>1</v>
      </c>
      <c r="P55" s="97">
        <f>SUMIF(B:B,Table1[[#This Row],[Namn]],G:G)</f>
        <v>0</v>
      </c>
      <c r="Q55" s="97">
        <f>SUMIF(B:B,Table1[[#This Row],[Namn]],E:E)</f>
        <v>0</v>
      </c>
      <c r="R55" s="97">
        <f>SUMIF(B:B,Table1[[#This Row],[Namn]],F:F)</f>
        <v>0</v>
      </c>
      <c r="W55" s="97">
        <f>SUM(Tabell16[TRUPP])</f>
        <v>0</v>
      </c>
      <c r="Y55" s="103"/>
      <c r="AW55" s="100"/>
    </row>
    <row r="56" spans="1:49" x14ac:dyDescent="0.25">
      <c r="A56" s="97">
        <v>2025</v>
      </c>
      <c r="B56" s="98" t="s">
        <v>26</v>
      </c>
      <c r="C56" s="97">
        <v>2</v>
      </c>
      <c r="D56" s="99">
        <f>IFERROR(Table1[[#This Row],[MAT]]/Table1[[#This Row],[LAG MATCH]],"")</f>
        <v>0.5</v>
      </c>
      <c r="E56" s="97">
        <v>0</v>
      </c>
      <c r="F56" s="97">
        <v>0</v>
      </c>
      <c r="G56" s="97">
        <v>0</v>
      </c>
      <c r="H56" s="97">
        <v>4</v>
      </c>
      <c r="I56" s="100">
        <f t="shared" si="6"/>
        <v>0</v>
      </c>
      <c r="J56" s="97">
        <f>Table1[[#This Row],[ÅR]]</f>
        <v>2025</v>
      </c>
      <c r="K56" s="97">
        <v>2007</v>
      </c>
      <c r="L56" s="97">
        <v>18</v>
      </c>
      <c r="M56" s="97">
        <v>2</v>
      </c>
      <c r="N56" s="97">
        <f>SUMIF(B:B,Table1[[#This Row],[Namn]],C:C)</f>
        <v>16</v>
      </c>
      <c r="O56" s="97">
        <f>COUNTIF(B:B,Table1[[#This Row],[Namn]])</f>
        <v>4</v>
      </c>
      <c r="P56" s="97">
        <f>SUMIF(B:B,Table1[[#This Row],[Namn]],G:G)</f>
        <v>0</v>
      </c>
      <c r="Q56" s="97">
        <f>SUMIF(B:B,Table1[[#This Row],[Namn]],E:E)</f>
        <v>0</v>
      </c>
      <c r="R56" s="97">
        <f>SUMIF(B:B,Table1[[#This Row],[Namn]],F:F)</f>
        <v>0</v>
      </c>
      <c r="Y56" s="103"/>
      <c r="AW56" s="100"/>
    </row>
    <row r="57" spans="1:49" x14ac:dyDescent="0.25">
      <c r="A57" s="97">
        <v>2025</v>
      </c>
      <c r="B57" s="98" t="s">
        <v>37</v>
      </c>
      <c r="C57" s="97">
        <v>2</v>
      </c>
      <c r="D57" s="99">
        <f>IFERROR(Table1[[#This Row],[MAT]]/Table1[[#This Row],[LAG MATCH]],"")</f>
        <v>0.5</v>
      </c>
      <c r="E57" s="97">
        <v>0</v>
      </c>
      <c r="F57" s="97">
        <v>0</v>
      </c>
      <c r="G57" s="97">
        <v>0</v>
      </c>
      <c r="H57" s="97">
        <v>4</v>
      </c>
      <c r="I57" s="100">
        <f t="shared" si="6"/>
        <v>0</v>
      </c>
      <c r="J57" s="97">
        <f>Table1[[#This Row],[ÅR]]</f>
        <v>2025</v>
      </c>
      <c r="K57" s="97">
        <v>2007</v>
      </c>
      <c r="L57" s="97">
        <v>18</v>
      </c>
      <c r="M57" s="97">
        <v>2</v>
      </c>
      <c r="N57" s="97">
        <f>SUMIF(B:B,Table1[[#This Row],[Namn]],C:C)</f>
        <v>7</v>
      </c>
      <c r="O57" s="97">
        <f>COUNTIF(B:B,Table1[[#This Row],[Namn]])</f>
        <v>3</v>
      </c>
      <c r="P57" s="97">
        <f>SUMIF(B:B,Table1[[#This Row],[Namn]],G:G)</f>
        <v>0</v>
      </c>
      <c r="Q57" s="97">
        <f>SUMIF(B:B,Table1[[#This Row],[Namn]],E:E)</f>
        <v>0</v>
      </c>
      <c r="R57" s="97">
        <f>SUMIF(B:B,Table1[[#This Row],[Namn]],F:F)</f>
        <v>0</v>
      </c>
      <c r="Y57" s="103"/>
      <c r="AW57" s="100"/>
    </row>
    <row r="58" spans="1:49" x14ac:dyDescent="0.25">
      <c r="A58" s="97">
        <v>2025</v>
      </c>
      <c r="B58" s="98" t="s">
        <v>52</v>
      </c>
      <c r="C58" s="97">
        <v>1</v>
      </c>
      <c r="D58" s="99">
        <f>IFERROR(Table1[[#This Row],[MAT]]/Table1[[#This Row],[LAG MATCH]],"")</f>
        <v>0.25</v>
      </c>
      <c r="E58" s="97">
        <v>0</v>
      </c>
      <c r="F58" s="97">
        <v>0</v>
      </c>
      <c r="G58" s="97">
        <v>0</v>
      </c>
      <c r="H58" s="97">
        <v>4</v>
      </c>
      <c r="I58" s="100">
        <f t="shared" si="6"/>
        <v>0</v>
      </c>
      <c r="J58" s="97">
        <f>Table1[[#This Row],[ÅR]]</f>
        <v>2025</v>
      </c>
      <c r="K58" s="97">
        <v>2010</v>
      </c>
      <c r="L58" s="97">
        <v>15</v>
      </c>
      <c r="M58" s="97">
        <v>2</v>
      </c>
      <c r="N58" s="97">
        <f>SUMIF(B:B,Table1[[#This Row],[Namn]],C:C)</f>
        <v>1</v>
      </c>
      <c r="O58" s="97">
        <f>COUNTIF(B:B,Table1[[#This Row],[Namn]])</f>
        <v>1</v>
      </c>
      <c r="P58" s="97">
        <f>SUMIF(B:B,Table1[[#This Row],[Namn]],G:G)</f>
        <v>0</v>
      </c>
      <c r="Q58" s="97">
        <f>SUMIF(B:B,Table1[[#This Row],[Namn]],E:E)</f>
        <v>0</v>
      </c>
      <c r="R58" s="97">
        <f>SUMIF(B:B,Table1[[#This Row],[Namn]],F:F)</f>
        <v>0</v>
      </c>
      <c r="W58" s="97">
        <f>SUM(Tabell16[TRUPP])</f>
        <v>0</v>
      </c>
      <c r="AW58" s="100"/>
    </row>
    <row r="59" spans="1:49" x14ac:dyDescent="0.25">
      <c r="A59" s="97">
        <v>2025</v>
      </c>
      <c r="B59" s="98" t="s">
        <v>29</v>
      </c>
      <c r="C59" s="97">
        <v>1</v>
      </c>
      <c r="D59" s="99">
        <f>IFERROR(Table1[[#This Row],[MAT]]/Table1[[#This Row],[LAG MATCH]],"")</f>
        <v>0.25</v>
      </c>
      <c r="E59" s="97">
        <v>0</v>
      </c>
      <c r="F59" s="97">
        <v>0</v>
      </c>
      <c r="G59" s="97">
        <v>0</v>
      </c>
      <c r="H59" s="97">
        <v>4</v>
      </c>
      <c r="I59" s="100">
        <f t="shared" si="6"/>
        <v>0</v>
      </c>
      <c r="J59" s="97">
        <f>Table1[[#This Row],[ÅR]]</f>
        <v>2025</v>
      </c>
      <c r="K59" s="97">
        <v>2007</v>
      </c>
      <c r="L59" s="97">
        <v>18</v>
      </c>
      <c r="M59" s="97">
        <v>2</v>
      </c>
      <c r="N59" s="97">
        <f>SUMIF(B:B,Table1[[#This Row],[Namn]],C:C)</f>
        <v>43</v>
      </c>
      <c r="O59" s="97">
        <f>COUNTIF(B:B,Table1[[#This Row],[Namn]])</f>
        <v>5</v>
      </c>
      <c r="P59" s="97">
        <f>SUMIF(B:B,Table1[[#This Row],[Namn]],G:G)</f>
        <v>14</v>
      </c>
      <c r="Q59" s="97">
        <f>SUMIF(B:B,Table1[[#This Row],[Namn]],E:E)</f>
        <v>1</v>
      </c>
      <c r="R59" s="97">
        <f>SUMIF(B:B,Table1[[#This Row],[Namn]],F:F)</f>
        <v>0</v>
      </c>
      <c r="AW59" s="100"/>
    </row>
    <row r="60" spans="1:49" x14ac:dyDescent="0.25">
      <c r="A60" s="97">
        <v>2025</v>
      </c>
      <c r="B60" s="98" t="s">
        <v>35</v>
      </c>
      <c r="C60" s="97">
        <v>1</v>
      </c>
      <c r="D60" s="99">
        <f>IFERROR(Table1[[#This Row],[MAT]]/Table1[[#This Row],[LAG MATCH]],"")</f>
        <v>0.25</v>
      </c>
      <c r="E60" s="97">
        <v>0</v>
      </c>
      <c r="F60" s="97">
        <v>0</v>
      </c>
      <c r="G60" s="97">
        <v>0</v>
      </c>
      <c r="H60" s="97">
        <v>4</v>
      </c>
      <c r="I60" s="100">
        <f t="shared" si="6"/>
        <v>0</v>
      </c>
      <c r="J60" s="97">
        <f>Table1[[#This Row],[ÅR]]</f>
        <v>2025</v>
      </c>
      <c r="K60" s="97">
        <v>2010</v>
      </c>
      <c r="L60" s="97">
        <v>15</v>
      </c>
      <c r="M60" s="97">
        <v>2</v>
      </c>
      <c r="N60" s="97">
        <f>SUMIF(B:B,Table1[[#This Row],[Namn]],C:C)</f>
        <v>1</v>
      </c>
      <c r="O60" s="97">
        <f>COUNTIF(B:B,Table1[[#This Row],[Namn]])</f>
        <v>2</v>
      </c>
      <c r="P60" s="97">
        <f>SUMIF(B:B,Table1[[#This Row],[Namn]],G:G)</f>
        <v>0</v>
      </c>
      <c r="Q60" s="97">
        <f>SUMIF(B:B,Table1[[#This Row],[Namn]],E:E)</f>
        <v>0</v>
      </c>
      <c r="R60" s="97">
        <f>SUMIF(B:B,Table1[[#This Row],[Namn]],F:F)</f>
        <v>0</v>
      </c>
      <c r="AW60" s="100"/>
    </row>
    <row r="61" spans="1:49" x14ac:dyDescent="0.25">
      <c r="A61" s="97">
        <v>2025</v>
      </c>
      <c r="B61" s="98" t="s">
        <v>53</v>
      </c>
      <c r="C61" s="97">
        <v>1</v>
      </c>
      <c r="D61" s="99">
        <f>IFERROR(Table1[[#This Row],[MAT]]/Table1[[#This Row],[LAG MATCH]],"")</f>
        <v>0.25</v>
      </c>
      <c r="E61" s="97">
        <v>0</v>
      </c>
      <c r="F61" s="97">
        <v>0</v>
      </c>
      <c r="G61" s="97">
        <v>0</v>
      </c>
      <c r="H61" s="97">
        <v>4</v>
      </c>
      <c r="I61" s="100">
        <f t="shared" si="6"/>
        <v>0</v>
      </c>
      <c r="J61" s="97">
        <f>Table1[[#This Row],[ÅR]]</f>
        <v>2025</v>
      </c>
      <c r="K61" s="97">
        <v>2008</v>
      </c>
      <c r="L61" s="97">
        <v>17</v>
      </c>
      <c r="M61" s="97">
        <v>2</v>
      </c>
      <c r="N61" s="97">
        <f>SUMIF(B:B,Table1[[#This Row],[Namn]],C:C)</f>
        <v>7</v>
      </c>
      <c r="O61" s="97">
        <f>COUNTIF(B:B,Table1[[#This Row],[Namn]])</f>
        <v>2</v>
      </c>
      <c r="P61" s="97">
        <f>SUMIF(B:B,Table1[[#This Row],[Namn]],G:G)</f>
        <v>0</v>
      </c>
      <c r="Q61" s="97">
        <f>SUMIF(B:B,Table1[[#This Row],[Namn]],E:E)</f>
        <v>0</v>
      </c>
      <c r="R61" s="97">
        <f>SUMIF(B:B,Table1[[#This Row],[Namn]],F:F)</f>
        <v>0</v>
      </c>
      <c r="AW61" s="100"/>
    </row>
    <row r="62" spans="1:49" x14ac:dyDescent="0.25">
      <c r="A62" s="97">
        <v>2025</v>
      </c>
      <c r="B62" s="98" t="s">
        <v>54</v>
      </c>
      <c r="C62" s="97">
        <v>1</v>
      </c>
      <c r="D62" s="99">
        <f>IFERROR(Table1[[#This Row],[MAT]]/Table1[[#This Row],[LAG MATCH]],"")</f>
        <v>0.25</v>
      </c>
      <c r="E62" s="97">
        <v>0</v>
      </c>
      <c r="F62" s="97">
        <v>0</v>
      </c>
      <c r="G62" s="97">
        <v>0</v>
      </c>
      <c r="H62" s="97">
        <v>4</v>
      </c>
      <c r="I62" s="100">
        <f t="shared" si="6"/>
        <v>0</v>
      </c>
      <c r="J62" s="97">
        <f>Table1[[#This Row],[ÅR]]</f>
        <v>2025</v>
      </c>
      <c r="K62" s="97">
        <v>2010</v>
      </c>
      <c r="L62" s="97">
        <v>15</v>
      </c>
      <c r="M62" s="97">
        <v>2</v>
      </c>
      <c r="N62" s="97">
        <f>SUMIF(B:B,Table1[[#This Row],[Namn]],C:C)</f>
        <v>1</v>
      </c>
      <c r="O62" s="97">
        <f>COUNTIF(B:B,Table1[[#This Row],[Namn]])</f>
        <v>1</v>
      </c>
      <c r="P62" s="97">
        <f>SUMIF(B:B,Table1[[#This Row],[Namn]],G:G)</f>
        <v>0</v>
      </c>
      <c r="Q62" s="97">
        <f>SUMIF(B:B,Table1[[#This Row],[Namn]],E:E)</f>
        <v>0</v>
      </c>
      <c r="R62" s="97">
        <f>SUMIF(B:B,Table1[[#This Row],[Namn]],F:F)</f>
        <v>0</v>
      </c>
      <c r="AW62" s="100"/>
    </row>
    <row r="63" spans="1:49" x14ac:dyDescent="0.25">
      <c r="A63" s="97">
        <v>2025</v>
      </c>
      <c r="B63" s="98" t="s">
        <v>55</v>
      </c>
      <c r="C63" s="97">
        <v>1</v>
      </c>
      <c r="D63" s="99">
        <f>IFERROR(Table1[[#This Row],[MAT]]/Table1[[#This Row],[LAG MATCH]],"")</f>
        <v>0.25</v>
      </c>
      <c r="E63" s="97">
        <v>0</v>
      </c>
      <c r="F63" s="97">
        <v>0</v>
      </c>
      <c r="G63" s="97">
        <v>0</v>
      </c>
      <c r="H63" s="97">
        <v>4</v>
      </c>
      <c r="I63" s="100">
        <f t="shared" si="6"/>
        <v>0</v>
      </c>
      <c r="J63" s="97">
        <f>Table1[[#This Row],[ÅR]]</f>
        <v>2025</v>
      </c>
      <c r="K63" s="97">
        <v>2010</v>
      </c>
      <c r="L63" s="97">
        <v>15</v>
      </c>
      <c r="M63" s="97">
        <v>2</v>
      </c>
      <c r="N63" s="97">
        <f>SUMIF(B:B,Table1[[#This Row],[Namn]],C:C)</f>
        <v>1</v>
      </c>
      <c r="O63" s="97">
        <f>COUNTIF(B:B,Table1[[#This Row],[Namn]])</f>
        <v>1</v>
      </c>
      <c r="P63" s="97">
        <f>SUMIF(B:B,Table1[[#This Row],[Namn]],G:G)</f>
        <v>0</v>
      </c>
      <c r="Q63" s="97">
        <f>SUMIF(B:B,Table1[[#This Row],[Namn]],E:E)</f>
        <v>0</v>
      </c>
      <c r="R63" s="97">
        <f>SUMIF(B:B,Table1[[#This Row],[Namn]],F:F)</f>
        <v>0</v>
      </c>
      <c r="AW63" s="100"/>
    </row>
    <row r="64" spans="1:49" x14ac:dyDescent="0.25">
      <c r="A64" s="97">
        <v>2025</v>
      </c>
      <c r="B64" s="98" t="s">
        <v>41</v>
      </c>
      <c r="C64" s="97">
        <v>1</v>
      </c>
      <c r="D64" s="99">
        <f>IFERROR(Table1[[#This Row],[MAT]]/Table1[[#This Row],[LAG MATCH]],"")</f>
        <v>0.25</v>
      </c>
      <c r="E64" s="97">
        <v>0</v>
      </c>
      <c r="F64" s="97">
        <v>0</v>
      </c>
      <c r="G64" s="97">
        <v>0</v>
      </c>
      <c r="H64" s="97">
        <v>4</v>
      </c>
      <c r="I64" s="100">
        <f t="shared" si="6"/>
        <v>0</v>
      </c>
      <c r="J64" s="97">
        <f>Table1[[#This Row],[ÅR]]</f>
        <v>2025</v>
      </c>
      <c r="K64" s="97">
        <v>2005</v>
      </c>
      <c r="L64" s="97">
        <v>20</v>
      </c>
      <c r="M64" s="97">
        <v>2</v>
      </c>
      <c r="N64" s="97">
        <f>SUMIF(B:B,Table1[[#This Row],[Namn]],C:C)</f>
        <v>10</v>
      </c>
      <c r="O64" s="97">
        <f>COUNTIF(B:B,Table1[[#This Row],[Namn]])</f>
        <v>5</v>
      </c>
      <c r="P64" s="97">
        <f>SUMIF(B:B,Table1[[#This Row],[Namn]],G:G)</f>
        <v>0</v>
      </c>
      <c r="Q64" s="97">
        <f>SUMIF(B:B,Table1[[#This Row],[Namn]],E:E)</f>
        <v>0</v>
      </c>
      <c r="R64" s="97">
        <f>SUMIF(B:B,Table1[[#This Row],[Namn]],F:F)</f>
        <v>0</v>
      </c>
      <c r="AW64" s="100"/>
    </row>
    <row r="65" spans="1:49" x14ac:dyDescent="0.25">
      <c r="A65" s="97">
        <v>2024</v>
      </c>
      <c r="B65" s="98" t="s">
        <v>29</v>
      </c>
      <c r="C65" s="97">
        <v>29</v>
      </c>
      <c r="D65" s="99">
        <f>IFERROR(Table1[[#This Row],[MAT]]/Table1[[#This Row],[LAG MATCH]],"")</f>
        <v>1</v>
      </c>
      <c r="E65" s="97">
        <v>1</v>
      </c>
      <c r="F65" s="97">
        <v>0</v>
      </c>
      <c r="G65" s="97">
        <v>9</v>
      </c>
      <c r="H65" s="97">
        <v>29</v>
      </c>
      <c r="I65" s="100">
        <f t="shared" si="6"/>
        <v>0.31034482758620691</v>
      </c>
      <c r="J65" s="97">
        <f>Table1[[#This Row],[ÅR]]</f>
        <v>2024</v>
      </c>
      <c r="K65" s="97">
        <v>2007</v>
      </c>
      <c r="L65" s="97">
        <f>Table1[[#This Row],[SENASTE]]-Table1[[#This Row],[FÖDD]]</f>
        <v>17</v>
      </c>
      <c r="M65" s="97">
        <v>2</v>
      </c>
      <c r="N65" s="97">
        <f>SUMIF(B:B,Table1[[#This Row],[Namn]],C:C)</f>
        <v>43</v>
      </c>
      <c r="O65" s="97">
        <f>COUNTIF(B:B,Table1[[#This Row],[Namn]])</f>
        <v>5</v>
      </c>
      <c r="P65" s="97">
        <f>SUMIF(B:B,Table1[[#This Row],[Namn]],G:G)</f>
        <v>14</v>
      </c>
      <c r="Q65" s="97">
        <f>SUMIF(B:B,Table1[[#This Row],[Namn]],E:E)</f>
        <v>1</v>
      </c>
      <c r="R65" s="97">
        <f>SUMIF(B:B,Table1[[#This Row],[Namn]],F:F)</f>
        <v>0</v>
      </c>
      <c r="AW65" s="100"/>
    </row>
    <row r="66" spans="1:49" x14ac:dyDescent="0.25">
      <c r="A66" s="97">
        <v>2024</v>
      </c>
      <c r="B66" s="98" t="s">
        <v>56</v>
      </c>
      <c r="C66" s="97">
        <v>28</v>
      </c>
      <c r="D66" s="99">
        <f>IFERROR(Table1[[#This Row],[MAT]]/Table1[[#This Row],[LAG MATCH]],"")</f>
        <v>0.96551724137931039</v>
      </c>
      <c r="E66" s="97">
        <v>4</v>
      </c>
      <c r="F66" s="97">
        <v>0</v>
      </c>
      <c r="G66" s="97">
        <v>6</v>
      </c>
      <c r="H66" s="97">
        <v>29</v>
      </c>
      <c r="I66" s="100">
        <f t="shared" si="6"/>
        <v>0.21428571428571427</v>
      </c>
      <c r="J66" s="97">
        <f>Table1[[#This Row],[ÅR]]</f>
        <v>2024</v>
      </c>
      <c r="K66" s="97">
        <v>2002</v>
      </c>
      <c r="L66" s="97">
        <f>Table1[[#This Row],[SENASTE]]-Table1[[#This Row],[FÖDD]]</f>
        <v>22</v>
      </c>
      <c r="M66" s="97">
        <v>2</v>
      </c>
      <c r="N66" s="97">
        <f>SUMIF(B:B,Table1[[#This Row],[Namn]],C:C)</f>
        <v>151</v>
      </c>
      <c r="O66" s="97">
        <f>COUNTIF(B:B,Table1[[#This Row],[Namn]])</f>
        <v>8</v>
      </c>
      <c r="P66" s="97">
        <f>SUMIF(B:B,Table1[[#This Row],[Namn]],G:G)</f>
        <v>29</v>
      </c>
      <c r="Q66" s="97">
        <f>SUMIF(B:B,Table1[[#This Row],[Namn]],E:E)</f>
        <v>9</v>
      </c>
      <c r="R66" s="97">
        <f>SUMIF(B:B,Table1[[#This Row],[Namn]],F:F)</f>
        <v>0</v>
      </c>
      <c r="AW66" s="100"/>
    </row>
    <row r="67" spans="1:49" x14ac:dyDescent="0.25">
      <c r="A67" s="97">
        <v>2024</v>
      </c>
      <c r="B67" s="98" t="s">
        <v>28</v>
      </c>
      <c r="C67" s="97">
        <v>28</v>
      </c>
      <c r="D67" s="99">
        <f>IFERROR(Table1[[#This Row],[MAT]]/Table1[[#This Row],[LAG MATCH]],"")</f>
        <v>0.96551724137931039</v>
      </c>
      <c r="E67" s="97">
        <v>0</v>
      </c>
      <c r="F67" s="97">
        <v>0</v>
      </c>
      <c r="G67" s="97">
        <v>5</v>
      </c>
      <c r="H67" s="97">
        <v>29</v>
      </c>
      <c r="I67" s="100">
        <f t="shared" si="6"/>
        <v>0.17857142857142858</v>
      </c>
      <c r="J67" s="97">
        <f>Table1[[#This Row],[ÅR]]</f>
        <v>2024</v>
      </c>
      <c r="K67" s="97">
        <v>2007</v>
      </c>
      <c r="L67" s="97">
        <f>Table1[[#This Row],[SENASTE]]-Table1[[#This Row],[FÖDD]]</f>
        <v>17</v>
      </c>
      <c r="M67" s="97">
        <v>2</v>
      </c>
      <c r="N67" s="97">
        <f>SUMIF(B:B,Table1[[#This Row],[Namn]],C:C)</f>
        <v>41</v>
      </c>
      <c r="O67" s="97">
        <f>COUNTIF(B:B,Table1[[#This Row],[Namn]])</f>
        <v>4</v>
      </c>
      <c r="P67" s="97">
        <f>SUMIF(B:B,Table1[[#This Row],[Namn]],G:G)</f>
        <v>5</v>
      </c>
      <c r="Q67" s="97">
        <f>SUMIF(B:B,Table1[[#This Row],[Namn]],E:E)</f>
        <v>0</v>
      </c>
      <c r="R67" s="97">
        <f>SUMIF(B:B,Table1[[#This Row],[Namn]],F:F)</f>
        <v>0</v>
      </c>
      <c r="X67" s="98"/>
    </row>
    <row r="68" spans="1:49" x14ac:dyDescent="0.25">
      <c r="A68" s="97">
        <v>2024</v>
      </c>
      <c r="B68" s="98" t="s">
        <v>57</v>
      </c>
      <c r="C68" s="97">
        <v>27</v>
      </c>
      <c r="D68" s="99">
        <f>IFERROR(Table1[[#This Row],[MAT]]/Table1[[#This Row],[LAG MATCH]],"")</f>
        <v>0.93103448275862066</v>
      </c>
      <c r="E68" s="97">
        <v>0</v>
      </c>
      <c r="F68" s="97">
        <v>0</v>
      </c>
      <c r="G68" s="97">
        <v>4</v>
      </c>
      <c r="H68" s="97">
        <v>29</v>
      </c>
      <c r="I68" s="100">
        <f t="shared" si="6"/>
        <v>0.14814814814814814</v>
      </c>
      <c r="J68" s="97">
        <f>Table1[[#This Row],[ÅR]]</f>
        <v>2024</v>
      </c>
      <c r="K68" s="97">
        <v>2006</v>
      </c>
      <c r="L68" s="97">
        <f>Table1[[#This Row],[SENASTE]]-Table1[[#This Row],[FÖDD]]</f>
        <v>18</v>
      </c>
      <c r="M68" s="97">
        <v>2</v>
      </c>
      <c r="N68" s="97">
        <f>SUMIF(B:B,Table1[[#This Row],[Namn]],C:C)</f>
        <v>27</v>
      </c>
      <c r="O68" s="97">
        <f>COUNTIF(B:B,Table1[[#This Row],[Namn]])</f>
        <v>1</v>
      </c>
      <c r="P68" s="97">
        <f>SUMIF(B:B,Table1[[#This Row],[Namn]],G:G)</f>
        <v>4</v>
      </c>
      <c r="Q68" s="97">
        <f>SUMIF(B:B,Table1[[#This Row],[Namn]],E:E)</f>
        <v>0</v>
      </c>
      <c r="R68" s="97">
        <f>SUMIF(B:B,Table1[[#This Row],[Namn]],F:F)</f>
        <v>0</v>
      </c>
      <c r="X68" s="98"/>
    </row>
    <row r="69" spans="1:49" x14ac:dyDescent="0.25">
      <c r="A69" s="97">
        <v>2024</v>
      </c>
      <c r="B69" s="98" t="s">
        <v>34</v>
      </c>
      <c r="C69" s="97">
        <v>26</v>
      </c>
      <c r="D69" s="99">
        <f>IFERROR(Table1[[#This Row],[MAT]]/Table1[[#This Row],[LAG MATCH]],"")</f>
        <v>0.89655172413793105</v>
      </c>
      <c r="E69" s="97">
        <v>0</v>
      </c>
      <c r="F69" s="97">
        <v>0</v>
      </c>
      <c r="G69" s="97">
        <v>24</v>
      </c>
      <c r="H69" s="97">
        <v>29</v>
      </c>
      <c r="I69" s="100">
        <f t="shared" si="6"/>
        <v>0.92307692307692313</v>
      </c>
      <c r="J69" s="97">
        <f>Table1[[#This Row],[ÅR]]</f>
        <v>2024</v>
      </c>
      <c r="K69" s="97">
        <v>1991</v>
      </c>
      <c r="L69" s="97">
        <f>Table1[[#This Row],[SENASTE]]-Table1[[#This Row],[FÖDD]]</f>
        <v>33</v>
      </c>
      <c r="M69" s="97">
        <v>2</v>
      </c>
      <c r="N69" s="97">
        <f>SUMIF(B:B,Table1[[#This Row],[Namn]],C:C)</f>
        <v>138</v>
      </c>
      <c r="O69" s="97">
        <f>COUNTIF(B:B,Table1[[#This Row],[Namn]])</f>
        <v>9</v>
      </c>
      <c r="P69" s="97">
        <f>SUMIF(B:B,Table1[[#This Row],[Namn]],G:G)</f>
        <v>103</v>
      </c>
      <c r="Q69" s="97">
        <f>SUMIF(B:B,Table1[[#This Row],[Namn]],E:E)</f>
        <v>4</v>
      </c>
      <c r="R69" s="97">
        <f>SUMIF(B:B,Table1[[#This Row],[Namn]],F:F)</f>
        <v>0</v>
      </c>
      <c r="X69" s="98"/>
      <c r="AA69" s="106"/>
      <c r="AB69" s="106"/>
      <c r="AC69" s="106"/>
      <c r="AD69" s="106"/>
      <c r="AE69" s="106"/>
      <c r="AF69" s="106"/>
      <c r="AG69" s="106"/>
      <c r="AH69" s="106"/>
    </row>
    <row r="70" spans="1:49" x14ac:dyDescent="0.25">
      <c r="A70" s="97">
        <v>2024</v>
      </c>
      <c r="B70" s="98" t="s">
        <v>50</v>
      </c>
      <c r="C70" s="97">
        <v>26</v>
      </c>
      <c r="D70" s="99">
        <f>IFERROR(Table1[[#This Row],[MAT]]/Table1[[#This Row],[LAG MATCH]],"")</f>
        <v>0.89655172413793105</v>
      </c>
      <c r="E70" s="97">
        <v>1</v>
      </c>
      <c r="F70" s="97">
        <v>0</v>
      </c>
      <c r="G70" s="97">
        <v>2</v>
      </c>
      <c r="H70" s="97">
        <v>29</v>
      </c>
      <c r="I70" s="100">
        <f t="shared" si="6"/>
        <v>7.6923076923076927E-2</v>
      </c>
      <c r="J70" s="97">
        <f>Table1[[#This Row],[ÅR]]</f>
        <v>2024</v>
      </c>
      <c r="K70" s="97">
        <v>1993</v>
      </c>
      <c r="L70" s="97">
        <f>Table1[[#This Row],[SENASTE]]-Table1[[#This Row],[FÖDD]]</f>
        <v>31</v>
      </c>
      <c r="M70" s="97">
        <v>2</v>
      </c>
      <c r="N70" s="97">
        <f>SUMIF(B:B,Table1[[#This Row],[Namn]],C:C)</f>
        <v>92</v>
      </c>
      <c r="O70" s="97">
        <f>COUNTIF(B:B,Table1[[#This Row],[Namn]])</f>
        <v>7</v>
      </c>
      <c r="P70" s="97">
        <f>SUMIF(B:B,Table1[[#This Row],[Namn]],G:G)</f>
        <v>5</v>
      </c>
      <c r="Q70" s="97">
        <f>SUMIF(B:B,Table1[[#This Row],[Namn]],E:E)</f>
        <v>4</v>
      </c>
      <c r="R70" s="97">
        <f>SUMIF(B:B,Table1[[#This Row],[Namn]],F:F)</f>
        <v>0</v>
      </c>
      <c r="X70" s="98"/>
      <c r="AA70" s="106"/>
      <c r="AB70" s="106"/>
      <c r="AC70" s="106"/>
      <c r="AD70" s="106"/>
      <c r="AE70" s="106"/>
      <c r="AF70" s="106"/>
      <c r="AG70" s="106"/>
      <c r="AH70" s="106"/>
    </row>
    <row r="71" spans="1:49" x14ac:dyDescent="0.25">
      <c r="A71" s="97">
        <v>2024</v>
      </c>
      <c r="B71" s="98" t="s">
        <v>32</v>
      </c>
      <c r="C71" s="97">
        <v>25</v>
      </c>
      <c r="D71" s="99">
        <f>IFERROR(Table1[[#This Row],[MAT]]/Table1[[#This Row],[LAG MATCH]],"")</f>
        <v>0.86206896551724133</v>
      </c>
      <c r="E71" s="97">
        <v>11</v>
      </c>
      <c r="F71" s="97">
        <v>0</v>
      </c>
      <c r="G71" s="97">
        <v>5</v>
      </c>
      <c r="H71" s="97">
        <v>29</v>
      </c>
      <c r="I71" s="100">
        <f t="shared" si="6"/>
        <v>0.2</v>
      </c>
      <c r="J71" s="97">
        <f>Table1[[#This Row],[ÅR]]</f>
        <v>2024</v>
      </c>
      <c r="K71" s="97">
        <v>2003</v>
      </c>
      <c r="L71" s="97">
        <f>Table1[[#This Row],[SENASTE]]-Table1[[#This Row],[FÖDD]]</f>
        <v>21</v>
      </c>
      <c r="M71" s="97">
        <v>2</v>
      </c>
      <c r="N71" s="97">
        <f>SUMIF(B:B,Table1[[#This Row],[Namn]],C:C)</f>
        <v>29</v>
      </c>
      <c r="O71" s="97">
        <f>COUNTIF(B:B,Table1[[#This Row],[Namn]])</f>
        <v>2</v>
      </c>
      <c r="P71" s="97">
        <f>SUMIF(B:B,Table1[[#This Row],[Namn]],G:G)</f>
        <v>6</v>
      </c>
      <c r="Q71" s="97">
        <f>SUMIF(B:B,Table1[[#This Row],[Namn]],E:E)</f>
        <v>12</v>
      </c>
      <c r="R71" s="97">
        <f>SUMIF(B:B,Table1[[#This Row],[Namn]],F:F)</f>
        <v>0</v>
      </c>
      <c r="X71" s="98"/>
      <c r="AA71" s="106"/>
      <c r="AB71" s="106"/>
      <c r="AC71" s="106"/>
      <c r="AD71" s="106"/>
      <c r="AE71" s="106"/>
      <c r="AF71" s="106"/>
      <c r="AG71" s="106"/>
      <c r="AH71" s="106"/>
    </row>
    <row r="72" spans="1:49" x14ac:dyDescent="0.25">
      <c r="A72" s="97">
        <v>2024</v>
      </c>
      <c r="B72" s="98" t="s">
        <v>58</v>
      </c>
      <c r="C72" s="97">
        <v>25</v>
      </c>
      <c r="D72" s="99">
        <f>IFERROR(Table1[[#This Row],[MAT]]/Table1[[#This Row],[LAG MATCH]],"")</f>
        <v>0.86206896551724133</v>
      </c>
      <c r="E72" s="97">
        <v>0</v>
      </c>
      <c r="F72" s="97">
        <v>0</v>
      </c>
      <c r="G72" s="97">
        <v>0</v>
      </c>
      <c r="H72" s="97">
        <v>29</v>
      </c>
      <c r="I72" s="100">
        <f t="shared" si="6"/>
        <v>0</v>
      </c>
      <c r="J72" s="97">
        <f>Table1[[#This Row],[ÅR]]</f>
        <v>2024</v>
      </c>
      <c r="K72" s="97">
        <v>1999</v>
      </c>
      <c r="L72" s="97">
        <f>Table1[[#This Row],[SENASTE]]-Table1[[#This Row],[FÖDD]]</f>
        <v>25</v>
      </c>
      <c r="M72" s="97">
        <v>2</v>
      </c>
      <c r="N72" s="97">
        <f>SUMIF(B:B,Table1[[#This Row],[Namn]],C:C)</f>
        <v>36</v>
      </c>
      <c r="O72" s="97">
        <f>COUNTIF(B:B,Table1[[#This Row],[Namn]])</f>
        <v>2</v>
      </c>
      <c r="P72" s="97">
        <f>SUMIF(B:B,Table1[[#This Row],[Namn]],G:G)</f>
        <v>0</v>
      </c>
      <c r="Q72" s="97">
        <f>SUMIF(B:B,Table1[[#This Row],[Namn]],E:E)</f>
        <v>0</v>
      </c>
      <c r="R72" s="97">
        <f>SUMIF(B:B,Table1[[#This Row],[Namn]],F:F)</f>
        <v>0</v>
      </c>
      <c r="X72" s="98"/>
      <c r="AA72" s="106"/>
      <c r="AB72" s="106"/>
      <c r="AC72" s="106"/>
      <c r="AD72" s="106"/>
      <c r="AE72" s="106"/>
      <c r="AF72" s="106"/>
      <c r="AG72" s="106"/>
      <c r="AH72" s="106"/>
    </row>
    <row r="73" spans="1:49" x14ac:dyDescent="0.25">
      <c r="A73" s="97">
        <v>2024</v>
      </c>
      <c r="B73" s="98" t="s">
        <v>59</v>
      </c>
      <c r="C73" s="97">
        <v>24</v>
      </c>
      <c r="D73" s="99">
        <f>IFERROR(Table1[[#This Row],[MAT]]/Table1[[#This Row],[LAG MATCH]],"")</f>
        <v>0.82758620689655171</v>
      </c>
      <c r="E73" s="97">
        <v>1</v>
      </c>
      <c r="F73" s="97">
        <v>1</v>
      </c>
      <c r="G73" s="97">
        <v>5</v>
      </c>
      <c r="H73" s="97">
        <v>29</v>
      </c>
      <c r="I73" s="100">
        <f t="shared" si="6"/>
        <v>0.20833333333333334</v>
      </c>
      <c r="J73" s="97">
        <f>Table1[[#This Row],[ÅR]]</f>
        <v>2024</v>
      </c>
      <c r="K73" s="97">
        <v>1989</v>
      </c>
      <c r="L73" s="97">
        <f>Table1[[#This Row],[SENASTE]]-Table1[[#This Row],[FÖDD]]</f>
        <v>35</v>
      </c>
      <c r="M73" s="97">
        <v>2</v>
      </c>
      <c r="N73" s="97">
        <f>SUMIF(B:B,Table1[[#This Row],[Namn]],C:C)</f>
        <v>119</v>
      </c>
      <c r="O73" s="97">
        <f>COUNTIF(B:B,Table1[[#This Row],[Namn]])</f>
        <v>6</v>
      </c>
      <c r="P73" s="97">
        <f>SUMIF(B:B,Table1[[#This Row],[Namn]],G:G)</f>
        <v>6</v>
      </c>
      <c r="Q73" s="97">
        <f>SUMIF(B:B,Table1[[#This Row],[Namn]],E:E)</f>
        <v>3</v>
      </c>
      <c r="R73" s="97">
        <f>SUMIF(B:B,Table1[[#This Row],[Namn]],F:F)</f>
        <v>1</v>
      </c>
      <c r="X73" s="98"/>
      <c r="AA73" s="106"/>
      <c r="AB73" s="106"/>
      <c r="AC73" s="106"/>
      <c r="AD73" s="106"/>
      <c r="AE73" s="106"/>
      <c r="AF73" s="106"/>
      <c r="AG73" s="106"/>
      <c r="AH73" s="106"/>
    </row>
    <row r="74" spans="1:49" x14ac:dyDescent="0.25">
      <c r="A74" s="97">
        <v>2024</v>
      </c>
      <c r="B74" s="98" t="s">
        <v>48</v>
      </c>
      <c r="C74" s="97">
        <v>21</v>
      </c>
      <c r="D74" s="99">
        <f>IFERROR(Table1[[#This Row],[MAT]]/Table1[[#This Row],[LAG MATCH]],"")</f>
        <v>0.72413793103448276</v>
      </c>
      <c r="E74" s="97">
        <v>0</v>
      </c>
      <c r="F74" s="97">
        <v>0</v>
      </c>
      <c r="G74" s="97">
        <v>16</v>
      </c>
      <c r="H74" s="97">
        <v>29</v>
      </c>
      <c r="I74" s="100">
        <f t="shared" si="6"/>
        <v>0.76190476190476186</v>
      </c>
      <c r="J74" s="97">
        <f>Table1[[#This Row],[ÅR]]</f>
        <v>2024</v>
      </c>
      <c r="K74" s="97">
        <v>1999</v>
      </c>
      <c r="L74" s="97">
        <f>Table1[[#This Row],[SENASTE]]-Table1[[#This Row],[FÖDD]]</f>
        <v>25</v>
      </c>
      <c r="M74" s="97">
        <v>2</v>
      </c>
      <c r="N74" s="97">
        <f>SUMIF(B:B,Table1[[#This Row],[Namn]],C:C)</f>
        <v>24</v>
      </c>
      <c r="O74" s="97">
        <f>COUNTIF(B:B,Table1[[#This Row],[Namn]])</f>
        <v>2</v>
      </c>
      <c r="P74" s="97">
        <f>SUMIF(B:B,Table1[[#This Row],[Namn]],G:G)</f>
        <v>17</v>
      </c>
      <c r="Q74" s="97">
        <f>SUMIF(B:B,Table1[[#This Row],[Namn]],E:E)</f>
        <v>0</v>
      </c>
      <c r="R74" s="97">
        <f>SUMIF(B:B,Table1[[#This Row],[Namn]],F:F)</f>
        <v>0</v>
      </c>
      <c r="X74" s="98"/>
      <c r="AA74" s="106"/>
      <c r="AB74" s="106"/>
      <c r="AC74" s="106"/>
      <c r="AD74" s="106"/>
      <c r="AE74" s="106"/>
      <c r="AF74" s="106"/>
      <c r="AG74" s="106"/>
      <c r="AH74" s="106"/>
    </row>
    <row r="75" spans="1:49" x14ac:dyDescent="0.25">
      <c r="A75" s="97">
        <v>2024</v>
      </c>
      <c r="B75" s="98" t="s">
        <v>39</v>
      </c>
      <c r="C75" s="97">
        <v>21</v>
      </c>
      <c r="D75" s="99">
        <f>IFERROR(Table1[[#This Row],[MAT]]/Table1[[#This Row],[LAG MATCH]],"")</f>
        <v>0.72413793103448276</v>
      </c>
      <c r="E75" s="97">
        <v>2</v>
      </c>
      <c r="F75" s="97">
        <v>1</v>
      </c>
      <c r="G75" s="97">
        <v>1</v>
      </c>
      <c r="H75" s="97">
        <v>29</v>
      </c>
      <c r="I75" s="100">
        <f t="shared" si="6"/>
        <v>4.7619047619047616E-2</v>
      </c>
      <c r="J75" s="97">
        <f>Table1[[#This Row],[ÅR]]</f>
        <v>2024</v>
      </c>
      <c r="K75" s="97">
        <v>2002</v>
      </c>
      <c r="L75" s="97">
        <f>Table1[[#This Row],[SENASTE]]-Table1[[#This Row],[FÖDD]]</f>
        <v>22</v>
      </c>
      <c r="M75" s="97">
        <v>2</v>
      </c>
      <c r="N75" s="97">
        <f>SUMIF(B:B,Table1[[#This Row],[Namn]],C:C)</f>
        <v>21</v>
      </c>
      <c r="O75" s="97">
        <f>COUNTIF(B:B,Table1[[#This Row],[Namn]])</f>
        <v>2</v>
      </c>
      <c r="P75" s="97">
        <f>SUMIF(B:B,Table1[[#This Row],[Namn]],G:G)</f>
        <v>1</v>
      </c>
      <c r="Q75" s="97">
        <f>SUMIF(B:B,Table1[[#This Row],[Namn]],E:E)</f>
        <v>2</v>
      </c>
      <c r="R75" s="97">
        <f>SUMIF(B:B,Table1[[#This Row],[Namn]],F:F)</f>
        <v>1</v>
      </c>
      <c r="X75" s="98"/>
      <c r="AA75" s="106"/>
      <c r="AB75" s="106"/>
      <c r="AC75" s="106"/>
      <c r="AD75" s="106"/>
      <c r="AE75" s="106"/>
      <c r="AF75" s="106"/>
      <c r="AG75" s="106"/>
      <c r="AH75" s="106"/>
    </row>
    <row r="76" spans="1:49" x14ac:dyDescent="0.25">
      <c r="A76" s="97">
        <v>2024</v>
      </c>
      <c r="B76" s="98" t="s">
        <v>60</v>
      </c>
      <c r="C76" s="97">
        <v>21</v>
      </c>
      <c r="D76" s="99">
        <f>IFERROR(Table1[[#This Row],[MAT]]/Table1[[#This Row],[LAG MATCH]],"")</f>
        <v>0.72413793103448276</v>
      </c>
      <c r="E76" s="97">
        <v>1</v>
      </c>
      <c r="F76" s="97">
        <v>0</v>
      </c>
      <c r="G76" s="97">
        <v>0</v>
      </c>
      <c r="H76" s="97">
        <v>29</v>
      </c>
      <c r="I76" s="100">
        <f t="shared" si="6"/>
        <v>0</v>
      </c>
      <c r="J76" s="97">
        <f>Table1[[#This Row],[ÅR]]</f>
        <v>2024</v>
      </c>
      <c r="K76" s="97">
        <v>2006</v>
      </c>
      <c r="L76" s="97">
        <f>Table1[[#This Row],[SENASTE]]-Table1[[#This Row],[FÖDD]]</f>
        <v>18</v>
      </c>
      <c r="M76" s="97">
        <v>2</v>
      </c>
      <c r="N76" s="97">
        <f>SUMIF(B:B,Table1[[#This Row],[Namn]],C:C)</f>
        <v>21</v>
      </c>
      <c r="O76" s="97">
        <f>COUNTIF(B:B,Table1[[#This Row],[Namn]])</f>
        <v>1</v>
      </c>
      <c r="P76" s="97">
        <f>SUMIF(B:B,Table1[[#This Row],[Namn]],G:G)</f>
        <v>0</v>
      </c>
      <c r="Q76" s="97">
        <f>SUMIF(B:B,Table1[[#This Row],[Namn]],E:E)</f>
        <v>1</v>
      </c>
      <c r="R76" s="97">
        <f>SUMIF(B:B,Table1[[#This Row],[Namn]],F:F)</f>
        <v>0</v>
      </c>
      <c r="X76" s="98"/>
      <c r="AA76" s="106"/>
      <c r="AB76" s="106"/>
      <c r="AC76" s="106"/>
      <c r="AD76" s="106"/>
      <c r="AE76" s="106"/>
      <c r="AF76" s="106"/>
      <c r="AG76" s="106"/>
      <c r="AH76" s="106"/>
    </row>
    <row r="77" spans="1:49" x14ac:dyDescent="0.25">
      <c r="A77" s="97">
        <v>2024</v>
      </c>
      <c r="B77" s="98" t="s">
        <v>36</v>
      </c>
      <c r="C77" s="97">
        <v>20</v>
      </c>
      <c r="D77" s="99">
        <f>IFERROR(Table1[[#This Row],[MAT]]/Table1[[#This Row],[LAG MATCH]],"")</f>
        <v>0.68965517241379315</v>
      </c>
      <c r="E77" s="97">
        <v>1</v>
      </c>
      <c r="F77" s="97">
        <v>0</v>
      </c>
      <c r="G77" s="97">
        <v>4</v>
      </c>
      <c r="H77" s="97">
        <v>29</v>
      </c>
      <c r="I77" s="100">
        <f t="shared" si="6"/>
        <v>0.2</v>
      </c>
      <c r="J77" s="97">
        <f>Table1[[#This Row],[ÅR]]</f>
        <v>2024</v>
      </c>
      <c r="K77" s="97">
        <v>2002</v>
      </c>
      <c r="L77" s="97">
        <f>Table1[[#This Row],[SENASTE]]-Table1[[#This Row],[FÖDD]]</f>
        <v>22</v>
      </c>
      <c r="M77" s="97">
        <v>2</v>
      </c>
      <c r="N77" s="97">
        <f>SUMIF(B:B,Table1[[#This Row],[Namn]],C:C)</f>
        <v>63</v>
      </c>
      <c r="O77" s="97">
        <f>COUNTIF(B:B,Table1[[#This Row],[Namn]])</f>
        <v>5</v>
      </c>
      <c r="P77" s="97">
        <f>SUMIF(B:B,Table1[[#This Row],[Namn]],G:G)</f>
        <v>24</v>
      </c>
      <c r="Q77" s="97">
        <f>SUMIF(B:B,Table1[[#This Row],[Namn]],E:E)</f>
        <v>3</v>
      </c>
      <c r="R77" s="97">
        <f>SUMIF(B:B,Table1[[#This Row],[Namn]],F:F)</f>
        <v>0</v>
      </c>
      <c r="X77" s="98"/>
      <c r="AA77" s="106"/>
      <c r="AB77" s="106"/>
      <c r="AC77" s="106"/>
      <c r="AD77" s="106"/>
      <c r="AE77" s="106"/>
      <c r="AF77" s="106"/>
      <c r="AG77" s="106"/>
      <c r="AH77" s="106"/>
    </row>
    <row r="78" spans="1:49" x14ac:dyDescent="0.25">
      <c r="A78" s="97">
        <v>2024</v>
      </c>
      <c r="B78" s="98" t="s">
        <v>33</v>
      </c>
      <c r="C78" s="97">
        <v>20</v>
      </c>
      <c r="D78" s="99">
        <f>IFERROR(Table1[[#This Row],[MAT]]/Table1[[#This Row],[LAG MATCH]],"")</f>
        <v>0.68965517241379315</v>
      </c>
      <c r="E78" s="97">
        <v>1</v>
      </c>
      <c r="F78" s="97">
        <v>0</v>
      </c>
      <c r="G78" s="97">
        <v>0</v>
      </c>
      <c r="H78" s="97">
        <v>29</v>
      </c>
      <c r="I78" s="100">
        <f t="shared" si="6"/>
        <v>0</v>
      </c>
      <c r="J78" s="97">
        <f>Table1[[#This Row],[ÅR]]</f>
        <v>2024</v>
      </c>
      <c r="K78" s="97">
        <v>1999</v>
      </c>
      <c r="L78" s="97">
        <f>Table1[[#This Row],[SENASTE]]-Table1[[#This Row],[FÖDD]]</f>
        <v>25</v>
      </c>
      <c r="M78" s="97">
        <v>2</v>
      </c>
      <c r="N78" s="97">
        <f>SUMIF(B:B,Table1[[#This Row],[Namn]],C:C)</f>
        <v>36</v>
      </c>
      <c r="O78" s="97">
        <f>COUNTIF(B:B,Table1[[#This Row],[Namn]])</f>
        <v>5</v>
      </c>
      <c r="P78" s="97">
        <f>SUMIF(B:B,Table1[[#This Row],[Namn]],G:G)</f>
        <v>0</v>
      </c>
      <c r="Q78" s="97">
        <f>SUMIF(B:B,Table1[[#This Row],[Namn]],E:E)</f>
        <v>1</v>
      </c>
      <c r="R78" s="97">
        <f>SUMIF(B:B,Table1[[#This Row],[Namn]],F:F)</f>
        <v>0</v>
      </c>
      <c r="X78" s="98"/>
      <c r="AA78" s="106"/>
      <c r="AB78" s="106"/>
      <c r="AC78" s="106"/>
      <c r="AD78" s="106"/>
      <c r="AE78" s="106"/>
      <c r="AF78" s="106"/>
      <c r="AG78" s="106"/>
      <c r="AH78" s="106"/>
    </row>
    <row r="79" spans="1:49" x14ac:dyDescent="0.25">
      <c r="A79" s="97">
        <v>2024</v>
      </c>
      <c r="B79" s="98" t="s">
        <v>40</v>
      </c>
      <c r="C79" s="97">
        <v>18</v>
      </c>
      <c r="D79" s="99">
        <f>IFERROR(Table1[[#This Row],[MAT]]/Table1[[#This Row],[LAG MATCH]],"")</f>
        <v>0.62068965517241381</v>
      </c>
      <c r="E79" s="97">
        <v>0</v>
      </c>
      <c r="F79" s="97">
        <v>0</v>
      </c>
      <c r="G79" s="97">
        <v>3</v>
      </c>
      <c r="H79" s="97">
        <v>29</v>
      </c>
      <c r="I79" s="100">
        <f t="shared" si="6"/>
        <v>0.16666666666666666</v>
      </c>
      <c r="J79" s="97">
        <f>Table1[[#This Row],[ÅR]]</f>
        <v>2024</v>
      </c>
      <c r="K79" s="97">
        <v>2007</v>
      </c>
      <c r="L79" s="97">
        <f>Table1[[#This Row],[SENASTE]]-Table1[[#This Row],[FÖDD]]</f>
        <v>17</v>
      </c>
      <c r="M79" s="97">
        <v>2</v>
      </c>
      <c r="N79" s="97">
        <f>SUMIF(B:B,Table1[[#This Row],[Namn]],C:C)</f>
        <v>22</v>
      </c>
      <c r="O79" s="97">
        <f>COUNTIF(B:B,Table1[[#This Row],[Namn]])</f>
        <v>3</v>
      </c>
      <c r="P79" s="97">
        <f>SUMIF(B:B,Table1[[#This Row],[Namn]],G:G)</f>
        <v>4</v>
      </c>
      <c r="Q79" s="97">
        <f>SUMIF(B:B,Table1[[#This Row],[Namn]],E:E)</f>
        <v>0</v>
      </c>
      <c r="R79" s="97">
        <f>SUMIF(B:B,Table1[[#This Row],[Namn]],F:F)</f>
        <v>0</v>
      </c>
      <c r="X79" s="98"/>
      <c r="AA79" s="106"/>
      <c r="AB79" s="106"/>
      <c r="AC79" s="106"/>
      <c r="AD79" s="106"/>
      <c r="AE79" s="106"/>
      <c r="AF79" s="106"/>
      <c r="AG79" s="106"/>
      <c r="AH79" s="106"/>
    </row>
    <row r="80" spans="1:49" x14ac:dyDescent="0.25">
      <c r="A80" s="97">
        <v>2024</v>
      </c>
      <c r="B80" s="98" t="s">
        <v>61</v>
      </c>
      <c r="C80" s="97">
        <v>11</v>
      </c>
      <c r="D80" s="99">
        <f>IFERROR(Table1[[#This Row],[MAT]]/Table1[[#This Row],[LAG MATCH]],"")</f>
        <v>0.37931034482758619</v>
      </c>
      <c r="E80" s="97">
        <v>0</v>
      </c>
      <c r="F80" s="97">
        <v>0</v>
      </c>
      <c r="G80" s="97">
        <v>3</v>
      </c>
      <c r="H80" s="97">
        <v>29</v>
      </c>
      <c r="I80" s="100">
        <f t="shared" si="6"/>
        <v>0.27272727272727271</v>
      </c>
      <c r="J80" s="97">
        <f>Table1[[#This Row],[ÅR]]</f>
        <v>2024</v>
      </c>
      <c r="K80" s="97">
        <v>2003</v>
      </c>
      <c r="L80" s="97">
        <f>Table1[[#This Row],[SENASTE]]-Table1[[#This Row],[FÖDD]]</f>
        <v>21</v>
      </c>
      <c r="M80" s="97">
        <v>2</v>
      </c>
      <c r="N80" s="97">
        <f>SUMIF(B:B,Table1[[#This Row],[Namn]],C:C)</f>
        <v>22</v>
      </c>
      <c r="O80" s="97">
        <f>COUNTIF(B:B,Table1[[#This Row],[Namn]])</f>
        <v>2</v>
      </c>
      <c r="P80" s="97">
        <f>SUMIF(B:B,Table1[[#This Row],[Namn]],G:G)</f>
        <v>3</v>
      </c>
      <c r="Q80" s="97">
        <f>SUMIF(B:B,Table1[[#This Row],[Namn]],E:E)</f>
        <v>1</v>
      </c>
      <c r="R80" s="97">
        <f>SUMIF(B:B,Table1[[#This Row],[Namn]],F:F)</f>
        <v>0</v>
      </c>
      <c r="X80" s="98"/>
      <c r="AA80" s="106"/>
      <c r="AB80" s="106"/>
      <c r="AC80" s="106"/>
      <c r="AD80" s="106"/>
      <c r="AE80" s="106"/>
      <c r="AF80" s="106"/>
      <c r="AG80" s="106"/>
      <c r="AH80" s="106"/>
    </row>
    <row r="81" spans="1:44" x14ac:dyDescent="0.25">
      <c r="A81" s="97">
        <v>2024</v>
      </c>
      <c r="B81" s="98" t="s">
        <v>62</v>
      </c>
      <c r="C81" s="97">
        <v>11</v>
      </c>
      <c r="D81" s="99">
        <f>IFERROR(Table1[[#This Row],[MAT]]/Table1[[#This Row],[LAG MATCH]],"")</f>
        <v>0.37931034482758619</v>
      </c>
      <c r="E81" s="97">
        <v>0</v>
      </c>
      <c r="F81" s="97">
        <v>0</v>
      </c>
      <c r="G81" s="97">
        <v>0</v>
      </c>
      <c r="H81" s="97">
        <v>29</v>
      </c>
      <c r="I81" s="100">
        <f t="shared" si="6"/>
        <v>0</v>
      </c>
      <c r="J81" s="97">
        <f>Table1[[#This Row],[ÅR]]</f>
        <v>2024</v>
      </c>
      <c r="K81" s="97">
        <v>2001</v>
      </c>
      <c r="L81" s="97">
        <f>Table1[[#This Row],[SENASTE]]-Table1[[#This Row],[FÖDD]]</f>
        <v>23</v>
      </c>
      <c r="M81" s="97">
        <v>2</v>
      </c>
      <c r="N81" s="97">
        <f>SUMIF(B:B,Table1[[#This Row],[Namn]],C:C)</f>
        <v>23</v>
      </c>
      <c r="O81" s="97">
        <f>COUNTIF(B:B,Table1[[#This Row],[Namn]])</f>
        <v>2</v>
      </c>
      <c r="P81" s="97">
        <f>SUMIF(B:B,Table1[[#This Row],[Namn]],G:G)</f>
        <v>0</v>
      </c>
      <c r="Q81" s="97">
        <f>SUMIF(B:B,Table1[[#This Row],[Namn]],E:E)</f>
        <v>0</v>
      </c>
      <c r="R81" s="97">
        <f>SUMIF(B:B,Table1[[#This Row],[Namn]],F:F)</f>
        <v>0</v>
      </c>
      <c r="X81" s="98"/>
      <c r="AA81" s="106"/>
      <c r="AB81" s="106"/>
      <c r="AC81" s="106"/>
      <c r="AD81" s="106"/>
      <c r="AE81" s="106"/>
      <c r="AF81" s="106"/>
      <c r="AG81" s="106"/>
      <c r="AH81" s="106"/>
    </row>
    <row r="82" spans="1:44" x14ac:dyDescent="0.25">
      <c r="A82" s="97">
        <v>2024</v>
      </c>
      <c r="B82" s="98" t="s">
        <v>43</v>
      </c>
      <c r="C82" s="97">
        <v>10</v>
      </c>
      <c r="D82" s="99">
        <f>IFERROR(Table1[[#This Row],[MAT]]/Table1[[#This Row],[LAG MATCH]],"")</f>
        <v>0.34482758620689657</v>
      </c>
      <c r="E82" s="97">
        <v>3</v>
      </c>
      <c r="F82" s="97">
        <v>0</v>
      </c>
      <c r="G82" s="97">
        <v>3</v>
      </c>
      <c r="H82" s="97">
        <v>29</v>
      </c>
      <c r="I82" s="100">
        <f t="shared" si="6"/>
        <v>0.3</v>
      </c>
      <c r="J82" s="97">
        <f>Table1[[#This Row],[ÅR]]</f>
        <v>2024</v>
      </c>
      <c r="K82" s="97">
        <v>2002</v>
      </c>
      <c r="L82" s="97">
        <f>Table1[[#This Row],[SENASTE]]-Table1[[#This Row],[FÖDD]]</f>
        <v>22</v>
      </c>
      <c r="M82" s="97">
        <v>2</v>
      </c>
      <c r="N82" s="97">
        <f>SUMIF(B:B,Table1[[#This Row],[Namn]],C:C)</f>
        <v>53</v>
      </c>
      <c r="O82" s="97">
        <f>COUNTIF(B:B,Table1[[#This Row],[Namn]])</f>
        <v>5</v>
      </c>
      <c r="P82" s="97">
        <f>SUMIF(B:B,Table1[[#This Row],[Namn]],G:G)</f>
        <v>25</v>
      </c>
      <c r="Q82" s="97">
        <f>SUMIF(B:B,Table1[[#This Row],[Namn]],E:E)</f>
        <v>3</v>
      </c>
      <c r="R82" s="97">
        <f>SUMIF(B:B,Table1[[#This Row],[Namn]],F:F)</f>
        <v>0</v>
      </c>
      <c r="X82" s="98"/>
      <c r="AA82" s="106"/>
      <c r="AB82" s="106"/>
      <c r="AC82" s="106"/>
      <c r="AD82" s="106"/>
      <c r="AE82" s="106"/>
      <c r="AF82" s="106"/>
      <c r="AG82" s="106"/>
      <c r="AH82" s="106"/>
    </row>
    <row r="83" spans="1:44" x14ac:dyDescent="0.25">
      <c r="A83" s="97">
        <v>2024</v>
      </c>
      <c r="B83" s="98" t="s">
        <v>63</v>
      </c>
      <c r="C83" s="97">
        <v>8</v>
      </c>
      <c r="D83" s="99">
        <f>IFERROR(Table1[[#This Row],[MAT]]/Table1[[#This Row],[LAG MATCH]],"")</f>
        <v>0.27586206896551724</v>
      </c>
      <c r="E83" s="97">
        <v>0</v>
      </c>
      <c r="F83" s="97">
        <v>0</v>
      </c>
      <c r="G83" s="97">
        <v>13</v>
      </c>
      <c r="H83" s="97">
        <v>29</v>
      </c>
      <c r="I83" s="100">
        <f t="shared" si="6"/>
        <v>1.625</v>
      </c>
      <c r="J83" s="97">
        <f>Table1[[#This Row],[ÅR]]</f>
        <v>2024</v>
      </c>
      <c r="K83" s="97">
        <v>2001</v>
      </c>
      <c r="L83" s="97">
        <f>Table1[[#This Row],[SENASTE]]-Table1[[#This Row],[FÖDD]]</f>
        <v>23</v>
      </c>
      <c r="M83" s="97">
        <v>2</v>
      </c>
      <c r="N83" s="97">
        <f>SUMIF(B:B,Table1[[#This Row],[Namn]],C:C)</f>
        <v>8</v>
      </c>
      <c r="O83" s="97">
        <f>COUNTIF(B:B,Table1[[#This Row],[Namn]])</f>
        <v>1</v>
      </c>
      <c r="P83" s="97">
        <f>SUMIF(B:B,Table1[[#This Row],[Namn]],G:G)</f>
        <v>13</v>
      </c>
      <c r="Q83" s="97">
        <f>SUMIF(B:B,Table1[[#This Row],[Namn]],E:E)</f>
        <v>0</v>
      </c>
      <c r="R83" s="97">
        <f>SUMIF(B:B,Table1[[#This Row],[Namn]],F:F)</f>
        <v>0</v>
      </c>
      <c r="X83" s="98"/>
      <c r="AA83" s="106"/>
      <c r="AB83" s="106"/>
      <c r="AC83" s="106"/>
      <c r="AD83" s="106"/>
      <c r="AE83" s="106"/>
      <c r="AF83" s="106"/>
      <c r="AG83" s="106"/>
      <c r="AH83" s="106"/>
    </row>
    <row r="84" spans="1:44" x14ac:dyDescent="0.25">
      <c r="A84" s="97">
        <v>2024</v>
      </c>
      <c r="B84" s="98" t="s">
        <v>53</v>
      </c>
      <c r="C84" s="97">
        <v>6</v>
      </c>
      <c r="D84" s="99">
        <f>IFERROR(Table1[[#This Row],[MAT]]/Table1[[#This Row],[LAG MATCH]],"")</f>
        <v>0.20689655172413793</v>
      </c>
      <c r="E84" s="97">
        <v>0</v>
      </c>
      <c r="F84" s="97">
        <v>0</v>
      </c>
      <c r="G84" s="97">
        <v>0</v>
      </c>
      <c r="H84" s="97">
        <v>29</v>
      </c>
      <c r="I84" s="100">
        <f t="shared" ref="I84:I147" si="7">IFERROR(G84/C84,"")</f>
        <v>0</v>
      </c>
      <c r="J84" s="97">
        <f>Table1[[#This Row],[ÅR]]</f>
        <v>2024</v>
      </c>
      <c r="K84" s="97">
        <v>2008</v>
      </c>
      <c r="L84" s="97">
        <f>Table1[[#This Row],[SENASTE]]-Table1[[#This Row],[FÖDD]]</f>
        <v>16</v>
      </c>
      <c r="M84" s="97">
        <v>2</v>
      </c>
      <c r="N84" s="97">
        <f>SUMIF(B:B,Table1[[#This Row],[Namn]],C:C)</f>
        <v>7</v>
      </c>
      <c r="O84" s="97">
        <f>COUNTIF(B:B,Table1[[#This Row],[Namn]])</f>
        <v>2</v>
      </c>
      <c r="P84" s="97">
        <f>SUMIF(B:B,Table1[[#This Row],[Namn]],G:G)</f>
        <v>0</v>
      </c>
      <c r="Q84" s="97">
        <f>SUMIF(B:B,Table1[[#This Row],[Namn]],E:E)</f>
        <v>0</v>
      </c>
      <c r="R84" s="97">
        <f>SUMIF(B:B,Table1[[#This Row],[Namn]],F:F)</f>
        <v>0</v>
      </c>
      <c r="X84" s="98"/>
      <c r="AA84" s="106"/>
      <c r="AB84" s="106"/>
      <c r="AC84" s="106"/>
      <c r="AD84" s="106"/>
      <c r="AE84" s="106"/>
      <c r="AF84" s="106"/>
      <c r="AG84" s="106"/>
      <c r="AH84" s="106"/>
    </row>
    <row r="85" spans="1:44" x14ac:dyDescent="0.25">
      <c r="A85" s="97">
        <v>2024</v>
      </c>
      <c r="B85" s="98" t="s">
        <v>64</v>
      </c>
      <c r="C85" s="97">
        <v>5</v>
      </c>
      <c r="D85" s="99">
        <f>IFERROR(Table1[[#This Row],[MAT]]/Table1[[#This Row],[LAG MATCH]],"")</f>
        <v>0.17241379310344829</v>
      </c>
      <c r="E85" s="97">
        <v>0</v>
      </c>
      <c r="F85" s="97">
        <v>0</v>
      </c>
      <c r="G85" s="97">
        <v>0</v>
      </c>
      <c r="H85" s="97">
        <v>29</v>
      </c>
      <c r="I85" s="100">
        <f t="shared" si="7"/>
        <v>0</v>
      </c>
      <c r="J85" s="97">
        <f>Table1[[#This Row],[ÅR]]</f>
        <v>2024</v>
      </c>
      <c r="K85" s="97">
        <v>2001</v>
      </c>
      <c r="L85" s="97">
        <f>Table1[[#This Row],[SENASTE]]-Table1[[#This Row],[FÖDD]]</f>
        <v>23</v>
      </c>
      <c r="M85" s="97">
        <v>2</v>
      </c>
      <c r="N85" s="97">
        <f>SUMIF(B:B,Table1[[#This Row],[Namn]],C:C)</f>
        <v>48</v>
      </c>
      <c r="O85" s="97">
        <f>COUNTIF(B:B,Table1[[#This Row],[Namn]])</f>
        <v>8</v>
      </c>
      <c r="P85" s="97">
        <f>SUMIF(B:B,Table1[[#This Row],[Namn]],G:G)</f>
        <v>14</v>
      </c>
      <c r="Q85" s="97">
        <f>SUMIF(B:B,Table1[[#This Row],[Namn]],E:E)</f>
        <v>1</v>
      </c>
      <c r="R85" s="97">
        <f>SUMIF(B:B,Table1[[#This Row],[Namn]],F:F)</f>
        <v>0</v>
      </c>
      <c r="X85" s="98"/>
      <c r="AA85" s="106"/>
      <c r="AB85" s="106"/>
      <c r="AC85" s="106"/>
      <c r="AD85" s="106"/>
      <c r="AE85" s="106"/>
      <c r="AF85" s="106"/>
      <c r="AG85" s="106"/>
      <c r="AH85" s="106"/>
    </row>
    <row r="86" spans="1:44" x14ac:dyDescent="0.25">
      <c r="A86" s="97">
        <v>2024</v>
      </c>
      <c r="B86" s="98" t="s">
        <v>46</v>
      </c>
      <c r="C86" s="97">
        <v>4</v>
      </c>
      <c r="D86" s="99">
        <f>IFERROR(Table1[[#This Row],[MAT]]/Table1[[#This Row],[LAG MATCH]],"")</f>
        <v>0.13793103448275862</v>
      </c>
      <c r="E86" s="97">
        <v>0</v>
      </c>
      <c r="F86" s="97">
        <v>0</v>
      </c>
      <c r="G86" s="97">
        <v>2</v>
      </c>
      <c r="H86" s="97">
        <v>29</v>
      </c>
      <c r="I86" s="100">
        <f t="shared" si="7"/>
        <v>0.5</v>
      </c>
      <c r="J86" s="97">
        <f>Table1[[#This Row],[ÅR]]</f>
        <v>2024</v>
      </c>
      <c r="K86" s="97">
        <v>2003</v>
      </c>
      <c r="L86" s="97">
        <f>Table1[[#This Row],[SENASTE]]-Table1[[#This Row],[FÖDD]]</f>
        <v>21</v>
      </c>
      <c r="M86" s="97">
        <v>2</v>
      </c>
      <c r="N86" s="97">
        <f>SUMIF(B:B,Table1[[#This Row],[Namn]],C:C)</f>
        <v>7</v>
      </c>
      <c r="O86" s="97">
        <f>COUNTIF(B:B,Table1[[#This Row],[Namn]])</f>
        <v>2</v>
      </c>
      <c r="P86" s="97">
        <f>SUMIF(B:B,Table1[[#This Row],[Namn]],G:G)</f>
        <v>3</v>
      </c>
      <c r="Q86" s="97">
        <f>SUMIF(B:B,Table1[[#This Row],[Namn]],E:E)</f>
        <v>0</v>
      </c>
      <c r="R86" s="97">
        <f>SUMIF(B:B,Table1[[#This Row],[Namn]],F:F)</f>
        <v>0</v>
      </c>
      <c r="X86" s="98"/>
      <c r="AA86" s="106"/>
      <c r="AB86" s="106"/>
      <c r="AC86" s="106"/>
      <c r="AD86" s="106"/>
      <c r="AE86" s="106"/>
      <c r="AF86" s="106"/>
      <c r="AG86" s="106"/>
      <c r="AH86" s="106"/>
    </row>
    <row r="87" spans="1:44" x14ac:dyDescent="0.25">
      <c r="A87" s="97">
        <v>2024</v>
      </c>
      <c r="B87" s="98" t="s">
        <v>65</v>
      </c>
      <c r="C87" s="97">
        <v>4</v>
      </c>
      <c r="D87" s="99">
        <f>IFERROR(Table1[[#This Row],[MAT]]/Table1[[#This Row],[LAG MATCH]],"")</f>
        <v>0.13793103448275862</v>
      </c>
      <c r="E87" s="97">
        <v>0</v>
      </c>
      <c r="F87" s="97">
        <v>0</v>
      </c>
      <c r="G87" s="97">
        <v>0</v>
      </c>
      <c r="H87" s="97">
        <v>29</v>
      </c>
      <c r="I87" s="100">
        <f t="shared" si="7"/>
        <v>0</v>
      </c>
      <c r="J87" s="97">
        <f>Table1[[#This Row],[ÅR]]</f>
        <v>2024</v>
      </c>
      <c r="K87" s="97">
        <v>2008</v>
      </c>
      <c r="L87" s="97">
        <f>Table1[[#This Row],[SENASTE]]-Table1[[#This Row],[FÖDD]]</f>
        <v>16</v>
      </c>
      <c r="M87" s="97">
        <v>2</v>
      </c>
      <c r="N87" s="97">
        <f>SUMIF(B:B,Table1[[#This Row],[Namn]],C:C)</f>
        <v>5</v>
      </c>
      <c r="O87" s="97">
        <f>COUNTIF(B:B,Table1[[#This Row],[Namn]])</f>
        <v>2</v>
      </c>
      <c r="P87" s="97">
        <f>SUMIF(B:B,Table1[[#This Row],[Namn]],G:G)</f>
        <v>0</v>
      </c>
      <c r="Q87" s="97">
        <f>SUMIF(B:B,Table1[[#This Row],[Namn]],E:E)</f>
        <v>0</v>
      </c>
      <c r="R87" s="97">
        <f>SUMIF(B:B,Table1[[#This Row],[Namn]],F:F)</f>
        <v>0</v>
      </c>
      <c r="X87" s="98"/>
      <c r="AA87" s="106"/>
      <c r="AB87" s="106"/>
      <c r="AC87" s="106"/>
      <c r="AD87" s="106"/>
      <c r="AE87" s="106"/>
      <c r="AF87" s="106"/>
      <c r="AG87" s="106"/>
      <c r="AH87" s="106"/>
    </row>
    <row r="88" spans="1:44" x14ac:dyDescent="0.25">
      <c r="A88" s="97">
        <v>2024</v>
      </c>
      <c r="B88" s="98" t="s">
        <v>42</v>
      </c>
      <c r="C88" s="97">
        <v>4</v>
      </c>
      <c r="D88" s="99">
        <f>IFERROR(Table1[[#This Row],[MAT]]/Table1[[#This Row],[LAG MATCH]],"")</f>
        <v>0.13793103448275862</v>
      </c>
      <c r="E88" s="97">
        <v>0</v>
      </c>
      <c r="F88" s="97">
        <v>0</v>
      </c>
      <c r="G88" s="97">
        <v>0</v>
      </c>
      <c r="H88" s="97">
        <v>29</v>
      </c>
      <c r="I88" s="100">
        <f t="shared" si="7"/>
        <v>0</v>
      </c>
      <c r="J88" s="97">
        <f>Table1[[#This Row],[ÅR]]</f>
        <v>2024</v>
      </c>
      <c r="K88" s="97">
        <v>2008</v>
      </c>
      <c r="L88" s="97">
        <f>Table1[[#This Row],[SENASTE]]-Table1[[#This Row],[FÖDD]]</f>
        <v>16</v>
      </c>
      <c r="M88" s="97">
        <v>2</v>
      </c>
      <c r="N88" s="97">
        <f>SUMIF(B:B,Table1[[#This Row],[Namn]],C:C)</f>
        <v>11</v>
      </c>
      <c r="O88" s="97">
        <f>COUNTIF(B:B,Table1[[#This Row],[Namn]])</f>
        <v>3</v>
      </c>
      <c r="P88" s="97">
        <f>SUMIF(B:B,Table1[[#This Row],[Namn]],G:G)</f>
        <v>0</v>
      </c>
      <c r="Q88" s="97">
        <f>SUMIF(B:B,Table1[[#This Row],[Namn]],E:E)</f>
        <v>0</v>
      </c>
      <c r="R88" s="97">
        <f>SUMIF(B:B,Table1[[#This Row],[Namn]],F:F)</f>
        <v>0</v>
      </c>
      <c r="X88" s="98"/>
      <c r="AA88" s="106"/>
      <c r="AB88" s="106"/>
      <c r="AC88" s="106"/>
      <c r="AD88" s="106"/>
      <c r="AE88" s="106"/>
      <c r="AF88" s="106"/>
      <c r="AG88" s="106"/>
      <c r="AH88" s="106"/>
    </row>
    <row r="89" spans="1:44" x14ac:dyDescent="0.25">
      <c r="A89" s="97">
        <v>2024</v>
      </c>
      <c r="B89" s="98" t="s">
        <v>37</v>
      </c>
      <c r="C89" s="97">
        <v>3</v>
      </c>
      <c r="D89" s="99">
        <f>IFERROR(Table1[[#This Row],[MAT]]/Table1[[#This Row],[LAG MATCH]],"")</f>
        <v>0.10344827586206896</v>
      </c>
      <c r="E89" s="97">
        <v>0</v>
      </c>
      <c r="F89" s="97">
        <v>0</v>
      </c>
      <c r="G89" s="97">
        <v>0</v>
      </c>
      <c r="H89" s="97">
        <v>29</v>
      </c>
      <c r="I89" s="100">
        <f t="shared" si="7"/>
        <v>0</v>
      </c>
      <c r="J89" s="97">
        <f>Table1[[#This Row],[ÅR]]</f>
        <v>2024</v>
      </c>
      <c r="K89" s="97">
        <v>2007</v>
      </c>
      <c r="L89" s="97">
        <f>Table1[[#This Row],[SENASTE]]-Table1[[#This Row],[FÖDD]]</f>
        <v>17</v>
      </c>
      <c r="M89" s="97">
        <v>2</v>
      </c>
      <c r="N89" s="97">
        <f>SUMIF(B:B,Table1[[#This Row],[Namn]],C:C)</f>
        <v>7</v>
      </c>
      <c r="O89" s="97">
        <f>COUNTIF(B:B,Table1[[#This Row],[Namn]])</f>
        <v>3</v>
      </c>
      <c r="P89" s="97">
        <f>SUMIF(B:B,Table1[[#This Row],[Namn]],G:G)</f>
        <v>0</v>
      </c>
      <c r="Q89" s="97">
        <f>SUMIF(B:B,Table1[[#This Row],[Namn]],E:E)</f>
        <v>0</v>
      </c>
      <c r="R89" s="97">
        <f>SUMIF(B:B,Table1[[#This Row],[Namn]],F:F)</f>
        <v>0</v>
      </c>
      <c r="X89" s="98"/>
      <c r="AA89" s="106"/>
      <c r="AB89" s="106"/>
      <c r="AC89" s="106"/>
      <c r="AD89" s="106"/>
      <c r="AE89" s="106"/>
      <c r="AF89" s="106"/>
      <c r="AG89" s="106"/>
      <c r="AH89" s="106"/>
    </row>
    <row r="90" spans="1:44" x14ac:dyDescent="0.25">
      <c r="A90" s="97">
        <v>2024</v>
      </c>
      <c r="B90" s="98" t="s">
        <v>66</v>
      </c>
      <c r="C90" s="97">
        <v>3</v>
      </c>
      <c r="D90" s="99">
        <f>IFERROR(Table1[[#This Row],[MAT]]/Table1[[#This Row],[LAG MATCH]],"")</f>
        <v>0.10344827586206896</v>
      </c>
      <c r="E90" s="97">
        <v>0</v>
      </c>
      <c r="F90" s="97">
        <v>0</v>
      </c>
      <c r="G90" s="97">
        <v>0</v>
      </c>
      <c r="H90" s="97">
        <v>29</v>
      </c>
      <c r="I90" s="100">
        <f t="shared" si="7"/>
        <v>0</v>
      </c>
      <c r="J90" s="97">
        <f>Table1[[#This Row],[ÅR]]</f>
        <v>2024</v>
      </c>
      <c r="K90" s="97">
        <v>1997</v>
      </c>
      <c r="L90" s="97">
        <f>Table1[[#This Row],[SENASTE]]-Table1[[#This Row],[FÖDD]]</f>
        <v>27</v>
      </c>
      <c r="M90" s="97">
        <v>2</v>
      </c>
      <c r="N90" s="97">
        <f>SUMIF(B:B,Table1[[#This Row],[Namn]],C:C)</f>
        <v>32</v>
      </c>
      <c r="O90" s="97">
        <f>COUNTIF(B:B,Table1[[#This Row],[Namn]])</f>
        <v>3</v>
      </c>
      <c r="P90" s="97">
        <f>SUMIF(B:B,Table1[[#This Row],[Namn]],G:G)</f>
        <v>1</v>
      </c>
      <c r="Q90" s="97">
        <f>SUMIF(B:B,Table1[[#This Row],[Namn]],E:E)</f>
        <v>3</v>
      </c>
      <c r="R90" s="97">
        <f>SUMIF(B:B,Table1[[#This Row],[Namn]],F:F)</f>
        <v>0</v>
      </c>
      <c r="X90" s="98"/>
      <c r="AA90" s="106"/>
      <c r="AB90" s="106"/>
      <c r="AC90" s="106"/>
      <c r="AD90" s="106"/>
      <c r="AE90" s="106"/>
      <c r="AF90" s="106"/>
      <c r="AG90" s="106"/>
      <c r="AH90" s="106"/>
    </row>
    <row r="91" spans="1:44" x14ac:dyDescent="0.25">
      <c r="A91" s="97">
        <v>2024</v>
      </c>
      <c r="B91" s="98" t="s">
        <v>24</v>
      </c>
      <c r="C91" s="97">
        <v>2</v>
      </c>
      <c r="D91" s="99">
        <f>IFERROR(Table1[[#This Row],[MAT]]/Table1[[#This Row],[LAG MATCH]],"")</f>
        <v>6.8965517241379309E-2</v>
      </c>
      <c r="E91" s="97">
        <v>0</v>
      </c>
      <c r="F91" s="97">
        <v>0</v>
      </c>
      <c r="G91" s="97">
        <v>0</v>
      </c>
      <c r="H91" s="97">
        <v>29</v>
      </c>
      <c r="I91" s="100">
        <f t="shared" si="7"/>
        <v>0</v>
      </c>
      <c r="J91" s="97">
        <f>Table1[[#This Row],[ÅR]]</f>
        <v>2024</v>
      </c>
      <c r="K91" s="97">
        <v>2009</v>
      </c>
      <c r="L91" s="97">
        <f>Table1[[#This Row],[SENASTE]]-Table1[[#This Row],[FÖDD]]</f>
        <v>15</v>
      </c>
      <c r="M91" s="97">
        <v>2</v>
      </c>
      <c r="N91" s="97">
        <f>SUMIF(B:B,Table1[[#This Row],[Namn]],C:C)</f>
        <v>10</v>
      </c>
      <c r="O91" s="97">
        <f>COUNTIF(B:B,Table1[[#This Row],[Namn]])</f>
        <v>3</v>
      </c>
      <c r="P91" s="97">
        <f>SUMIF(B:B,Table1[[#This Row],[Namn]],G:G)</f>
        <v>1</v>
      </c>
      <c r="Q91" s="97">
        <f>SUMIF(B:B,Table1[[#This Row],[Namn]],E:E)</f>
        <v>0</v>
      </c>
      <c r="R91" s="97">
        <f>SUMIF(B:B,Table1[[#This Row],[Namn]],F:F)</f>
        <v>0</v>
      </c>
      <c r="X91" s="98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</row>
    <row r="92" spans="1:44" x14ac:dyDescent="0.25">
      <c r="A92" s="97">
        <v>2024</v>
      </c>
      <c r="B92" s="98" t="s">
        <v>67</v>
      </c>
      <c r="C92" s="97">
        <v>1</v>
      </c>
      <c r="D92" s="99">
        <f>IFERROR(Table1[[#This Row],[MAT]]/Table1[[#This Row],[LAG MATCH]],"")</f>
        <v>3.4482758620689655E-2</v>
      </c>
      <c r="E92" s="97">
        <v>0</v>
      </c>
      <c r="F92" s="97">
        <v>0</v>
      </c>
      <c r="G92" s="97">
        <v>1</v>
      </c>
      <c r="H92" s="97">
        <v>29</v>
      </c>
      <c r="I92" s="100">
        <f t="shared" si="7"/>
        <v>1</v>
      </c>
      <c r="J92" s="97">
        <f>Table1[[#This Row],[ÅR]]</f>
        <v>2024</v>
      </c>
      <c r="K92" s="97">
        <v>2007</v>
      </c>
      <c r="L92" s="97">
        <f>Table1[[#This Row],[SENASTE]]-Table1[[#This Row],[FÖDD]]</f>
        <v>17</v>
      </c>
      <c r="M92" s="97">
        <v>2</v>
      </c>
      <c r="N92" s="97">
        <f>SUMIF(B:B,Table1[[#This Row],[Namn]],C:C)</f>
        <v>1</v>
      </c>
      <c r="O92" s="97">
        <f>COUNTIF(B:B,Table1[[#This Row],[Namn]])</f>
        <v>1</v>
      </c>
      <c r="P92" s="97">
        <f>SUMIF(B:B,Table1[[#This Row],[Namn]],G:G)</f>
        <v>1</v>
      </c>
      <c r="Q92" s="97">
        <f>SUMIF(B:B,Table1[[#This Row],[Namn]],E:E)</f>
        <v>0</v>
      </c>
      <c r="R92" s="97">
        <f>SUMIF(B:B,Table1[[#This Row],[Namn]],F:F)</f>
        <v>0</v>
      </c>
      <c r="X92" s="98"/>
      <c r="AA92" s="106"/>
      <c r="AB92" s="106"/>
      <c r="AC92" s="106"/>
      <c r="AD92" s="106"/>
      <c r="AE92" s="106"/>
      <c r="AF92" s="106"/>
      <c r="AG92" s="106"/>
      <c r="AH92" s="106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</row>
    <row r="93" spans="1:44" x14ac:dyDescent="0.25">
      <c r="A93" s="97">
        <v>2024</v>
      </c>
      <c r="B93" s="98" t="s">
        <v>45</v>
      </c>
      <c r="C93" s="97">
        <v>1</v>
      </c>
      <c r="D93" s="99">
        <f>IFERROR(Table1[[#This Row],[MAT]]/Table1[[#This Row],[LAG MATCH]],"")</f>
        <v>3.4482758620689655E-2</v>
      </c>
      <c r="E93" s="97">
        <v>0</v>
      </c>
      <c r="F93" s="97">
        <v>0</v>
      </c>
      <c r="G93" s="97">
        <v>0</v>
      </c>
      <c r="H93" s="97">
        <v>29</v>
      </c>
      <c r="I93" s="100">
        <f t="shared" si="7"/>
        <v>0</v>
      </c>
      <c r="J93" s="97">
        <f>Table1[[#This Row],[ÅR]]</f>
        <v>2024</v>
      </c>
      <c r="K93" s="97">
        <v>2009</v>
      </c>
      <c r="L93" s="97">
        <f>Table1[[#This Row],[SENASTE]]-Table1[[#This Row],[FÖDD]]</f>
        <v>15</v>
      </c>
      <c r="M93" s="97">
        <v>2</v>
      </c>
      <c r="N93" s="97">
        <f>SUMIF(B:B,Table1[[#This Row],[Namn]],C:C)</f>
        <v>4</v>
      </c>
      <c r="O93" s="97">
        <f>COUNTIF(B:B,Table1[[#This Row],[Namn]])</f>
        <v>2</v>
      </c>
      <c r="P93" s="97">
        <f>SUMIF(B:B,Table1[[#This Row],[Namn]],G:G)</f>
        <v>3</v>
      </c>
      <c r="Q93" s="97">
        <f>SUMIF(B:B,Table1[[#This Row],[Namn]],E:E)</f>
        <v>0</v>
      </c>
      <c r="R93" s="97">
        <f>SUMIF(B:B,Table1[[#This Row],[Namn]],F:F)</f>
        <v>0</v>
      </c>
      <c r="X93" s="98"/>
      <c r="AA93" s="106"/>
      <c r="AB93" s="106"/>
      <c r="AC93" s="106"/>
      <c r="AD93" s="106"/>
      <c r="AE93" s="106"/>
      <c r="AF93" s="106"/>
      <c r="AG93" s="106"/>
      <c r="AH93" s="106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</row>
    <row r="94" spans="1:44" x14ac:dyDescent="0.25">
      <c r="A94" s="97">
        <v>2024</v>
      </c>
      <c r="B94" s="98" t="s">
        <v>47</v>
      </c>
      <c r="C94" s="97">
        <v>1</v>
      </c>
      <c r="D94" s="99">
        <f>IFERROR(Table1[[#This Row],[MAT]]/Table1[[#This Row],[LAG MATCH]],"")</f>
        <v>3.4482758620689655E-2</v>
      </c>
      <c r="E94" s="97">
        <v>0</v>
      </c>
      <c r="F94" s="97">
        <v>0</v>
      </c>
      <c r="G94" s="97">
        <v>0</v>
      </c>
      <c r="H94" s="97">
        <v>29</v>
      </c>
      <c r="I94" s="100">
        <f t="shared" si="7"/>
        <v>0</v>
      </c>
      <c r="J94" s="97">
        <f>Table1[[#This Row],[ÅR]]</f>
        <v>2024</v>
      </c>
      <c r="K94" s="97">
        <v>2008</v>
      </c>
      <c r="L94" s="97">
        <f>Table1[[#This Row],[SENASTE]]-Table1[[#This Row],[FÖDD]]</f>
        <v>16</v>
      </c>
      <c r="M94" s="97">
        <v>2</v>
      </c>
      <c r="N94" s="97">
        <f>SUMIF(B:B,Table1[[#This Row],[Namn]],C:C)</f>
        <v>4</v>
      </c>
      <c r="O94" s="97">
        <f>COUNTIF(B:B,Table1[[#This Row],[Namn]])</f>
        <v>2</v>
      </c>
      <c r="P94" s="97">
        <f>SUMIF(B:B,Table1[[#This Row],[Namn]],G:G)</f>
        <v>1</v>
      </c>
      <c r="Q94" s="97">
        <f>SUMIF(B:B,Table1[[#This Row],[Namn]],E:E)</f>
        <v>0</v>
      </c>
      <c r="R94" s="97">
        <f>SUMIF(B:B,Table1[[#This Row],[Namn]],F:F)</f>
        <v>0</v>
      </c>
      <c r="X94" s="98"/>
      <c r="AA94" s="106"/>
      <c r="AB94" s="106"/>
      <c r="AC94" s="106"/>
      <c r="AD94" s="106"/>
      <c r="AE94" s="106"/>
      <c r="AF94" s="106"/>
      <c r="AG94" s="106"/>
      <c r="AH94" s="106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</row>
    <row r="95" spans="1:44" x14ac:dyDescent="0.25">
      <c r="A95" s="97">
        <v>2024</v>
      </c>
      <c r="B95" s="98" t="s">
        <v>26</v>
      </c>
      <c r="C95" s="97">
        <v>1</v>
      </c>
      <c r="D95" s="99">
        <f>IFERROR(Table1[[#This Row],[MAT]]/Table1[[#This Row],[LAG MATCH]],"")</f>
        <v>3.4482758620689655E-2</v>
      </c>
      <c r="E95" s="97">
        <v>0</v>
      </c>
      <c r="F95" s="97">
        <v>0</v>
      </c>
      <c r="G95" s="97">
        <v>0</v>
      </c>
      <c r="H95" s="97">
        <v>29</v>
      </c>
      <c r="I95" s="100">
        <f t="shared" si="7"/>
        <v>0</v>
      </c>
      <c r="J95" s="97">
        <f>Table1[[#This Row],[ÅR]]</f>
        <v>2024</v>
      </c>
      <c r="K95" s="97">
        <v>2007</v>
      </c>
      <c r="L95" s="97">
        <f>Table1[[#This Row],[SENASTE]]-Table1[[#This Row],[FÖDD]]</f>
        <v>17</v>
      </c>
      <c r="M95" s="97">
        <v>2</v>
      </c>
      <c r="N95" s="97">
        <f>SUMIF(B:B,Table1[[#This Row],[Namn]],C:C)</f>
        <v>16</v>
      </c>
      <c r="O95" s="97">
        <f>COUNTIF(B:B,Table1[[#This Row],[Namn]])</f>
        <v>4</v>
      </c>
      <c r="P95" s="97">
        <f>SUMIF(B:B,Table1[[#This Row],[Namn]],G:G)</f>
        <v>0</v>
      </c>
      <c r="Q95" s="97">
        <f>SUMIF(B:B,Table1[[#This Row],[Namn]],E:E)</f>
        <v>0</v>
      </c>
      <c r="R95" s="97">
        <f>SUMIF(B:B,Table1[[#This Row],[Namn]],F:F)</f>
        <v>0</v>
      </c>
      <c r="X95" s="98"/>
      <c r="AA95" s="106"/>
      <c r="AB95" s="106"/>
      <c r="AC95" s="106"/>
      <c r="AD95" s="106"/>
      <c r="AE95" s="106"/>
      <c r="AF95" s="106"/>
      <c r="AG95" s="106"/>
      <c r="AH95" s="106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</row>
    <row r="96" spans="1:44" x14ac:dyDescent="0.25">
      <c r="A96" s="97">
        <v>2024</v>
      </c>
      <c r="B96" s="98" t="s">
        <v>68</v>
      </c>
      <c r="C96" s="97">
        <v>1</v>
      </c>
      <c r="D96" s="99">
        <f>IFERROR(Table1[[#This Row],[MAT]]/Table1[[#This Row],[LAG MATCH]],"")</f>
        <v>3.4482758620689655E-2</v>
      </c>
      <c r="E96" s="97">
        <v>0</v>
      </c>
      <c r="F96" s="97">
        <v>0</v>
      </c>
      <c r="G96" s="97">
        <v>0</v>
      </c>
      <c r="H96" s="97">
        <v>29</v>
      </c>
      <c r="I96" s="100">
        <f t="shared" si="7"/>
        <v>0</v>
      </c>
      <c r="J96" s="97">
        <f>Table1[[#This Row],[ÅR]]</f>
        <v>2024</v>
      </c>
      <c r="K96" s="97">
        <v>2006</v>
      </c>
      <c r="L96" s="97">
        <f>Table1[[#This Row],[SENASTE]]-Table1[[#This Row],[FÖDD]]</f>
        <v>18</v>
      </c>
      <c r="M96" s="97">
        <v>2</v>
      </c>
      <c r="N96" s="97">
        <f>SUMIF(B:B,Table1[[#This Row],[Namn]],C:C)</f>
        <v>1</v>
      </c>
      <c r="O96" s="97">
        <f>COUNTIF(B:B,Table1[[#This Row],[Namn]])</f>
        <v>1</v>
      </c>
      <c r="P96" s="97">
        <f>SUMIF(B:B,Table1[[#This Row],[Namn]],G:G)</f>
        <v>0</v>
      </c>
      <c r="Q96" s="97">
        <f>SUMIF(B:B,Table1[[#This Row],[Namn]],E:E)</f>
        <v>0</v>
      </c>
      <c r="R96" s="97">
        <f>SUMIF(B:B,Table1[[#This Row],[Namn]],F:F)</f>
        <v>0</v>
      </c>
      <c r="X96" s="98"/>
      <c r="AA96" s="106"/>
      <c r="AB96" s="106"/>
      <c r="AC96" s="106"/>
      <c r="AD96" s="106"/>
      <c r="AE96" s="106"/>
      <c r="AF96" s="106"/>
      <c r="AG96" s="106"/>
      <c r="AH96" s="106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</row>
    <row r="97" spans="1:44" x14ac:dyDescent="0.25">
      <c r="A97" s="97">
        <v>2024</v>
      </c>
      <c r="B97" s="98" t="s">
        <v>41</v>
      </c>
      <c r="C97" s="97">
        <v>1</v>
      </c>
      <c r="D97" s="99">
        <f>IFERROR(Table1[[#This Row],[MAT]]/Table1[[#This Row],[LAG MATCH]],"")</f>
        <v>3.4482758620689655E-2</v>
      </c>
      <c r="E97" s="97">
        <v>0</v>
      </c>
      <c r="F97" s="97">
        <v>0</v>
      </c>
      <c r="G97" s="97">
        <v>0</v>
      </c>
      <c r="H97" s="97">
        <v>29</v>
      </c>
      <c r="I97" s="100">
        <f t="shared" si="7"/>
        <v>0</v>
      </c>
      <c r="J97" s="97">
        <f>Table1[[#This Row],[ÅR]]</f>
        <v>2024</v>
      </c>
      <c r="K97" s="97">
        <v>2005</v>
      </c>
      <c r="L97" s="97">
        <f>Table1[[#This Row],[SENASTE]]-Table1[[#This Row],[FÖDD]]</f>
        <v>19</v>
      </c>
      <c r="M97" s="97">
        <v>2</v>
      </c>
      <c r="N97" s="97">
        <f>SUMIF(B:B,Table1[[#This Row],[Namn]],C:C)</f>
        <v>10</v>
      </c>
      <c r="O97" s="97">
        <f>COUNTIF(B:B,Table1[[#This Row],[Namn]])</f>
        <v>5</v>
      </c>
      <c r="P97" s="97">
        <f>SUMIF(B:B,Table1[[#This Row],[Namn]],G:G)</f>
        <v>0</v>
      </c>
      <c r="Q97" s="97">
        <f>SUMIF(B:B,Table1[[#This Row],[Namn]],E:E)</f>
        <v>0</v>
      </c>
      <c r="R97" s="97">
        <f>SUMIF(B:B,Table1[[#This Row],[Namn]],F:F)</f>
        <v>0</v>
      </c>
      <c r="X97" s="98"/>
      <c r="AA97" s="106"/>
      <c r="AB97" s="106"/>
      <c r="AC97" s="106"/>
      <c r="AD97" s="106"/>
      <c r="AE97" s="106"/>
      <c r="AF97" s="106"/>
      <c r="AG97" s="106"/>
      <c r="AH97" s="106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</row>
    <row r="98" spans="1:44" x14ac:dyDescent="0.25">
      <c r="A98" s="97">
        <v>2023</v>
      </c>
      <c r="B98" s="98" t="s">
        <v>34</v>
      </c>
      <c r="C98" s="97">
        <v>22</v>
      </c>
      <c r="D98" s="99">
        <f>IFERROR(Table1[[#This Row],[MAT]]/Table1[[#This Row],[LAG MATCH]],"")</f>
        <v>1</v>
      </c>
      <c r="E98" s="97">
        <v>1</v>
      </c>
      <c r="F98" s="97">
        <v>0</v>
      </c>
      <c r="G98" s="97">
        <v>11</v>
      </c>
      <c r="H98" s="97">
        <v>22</v>
      </c>
      <c r="I98" s="100">
        <f t="shared" si="7"/>
        <v>0.5</v>
      </c>
      <c r="J98" s="97">
        <f>Table1[[#This Row],[ÅR]]</f>
        <v>2023</v>
      </c>
      <c r="K98" s="97">
        <v>1991</v>
      </c>
      <c r="L98" s="97">
        <f>Table1[[#This Row],[SENASTE]]-Table1[[#This Row],[FÖDD]]</f>
        <v>32</v>
      </c>
      <c r="M98" s="97">
        <v>2</v>
      </c>
      <c r="N98" s="97">
        <f>SUMIF(B:B,Table1[[#This Row],[Namn]],C:C)</f>
        <v>138</v>
      </c>
      <c r="O98" s="97">
        <f>COUNTIF(B:B,Table1[[#This Row],[Namn]])</f>
        <v>9</v>
      </c>
      <c r="P98" s="97">
        <f>SUMIF(B:B,Table1[[#This Row],[Namn]],G:G)</f>
        <v>103</v>
      </c>
      <c r="Q98" s="97">
        <f>SUMIF(B:B,Table1[[#This Row],[Namn]],E:E)</f>
        <v>4</v>
      </c>
      <c r="R98" s="97">
        <f>SUMIF(B:B,Table1[[#This Row],[Namn]],F:F)</f>
        <v>0</v>
      </c>
      <c r="X98" s="98"/>
      <c r="AA98" s="106"/>
      <c r="AB98" s="106"/>
      <c r="AC98" s="106"/>
      <c r="AD98" s="106"/>
      <c r="AE98" s="106"/>
      <c r="AF98" s="106"/>
      <c r="AG98" s="106"/>
      <c r="AH98" s="106"/>
    </row>
    <row r="99" spans="1:44" x14ac:dyDescent="0.25">
      <c r="A99" s="97">
        <v>2023</v>
      </c>
      <c r="B99" s="98" t="s">
        <v>56</v>
      </c>
      <c r="C99" s="97">
        <v>22</v>
      </c>
      <c r="D99" s="99">
        <f>IFERROR(Table1[[#This Row],[MAT]]/Table1[[#This Row],[LAG MATCH]],"")</f>
        <v>1</v>
      </c>
      <c r="E99" s="97">
        <v>2</v>
      </c>
      <c r="F99" s="97">
        <v>0</v>
      </c>
      <c r="G99" s="97">
        <v>2</v>
      </c>
      <c r="H99" s="97">
        <v>22</v>
      </c>
      <c r="I99" s="100">
        <f t="shared" si="7"/>
        <v>9.0909090909090912E-2</v>
      </c>
      <c r="J99" s="97">
        <f>Table1[[#This Row],[ÅR]]</f>
        <v>2023</v>
      </c>
      <c r="K99" s="97">
        <v>2002</v>
      </c>
      <c r="L99" s="97">
        <f>Table1[[#This Row],[SENASTE]]-Table1[[#This Row],[FÖDD]]</f>
        <v>21</v>
      </c>
      <c r="M99" s="97">
        <v>2</v>
      </c>
      <c r="N99" s="97">
        <f>SUMIF(B:B,Table1[[#This Row],[Namn]],C:C)</f>
        <v>151</v>
      </c>
      <c r="O99" s="97">
        <f>COUNTIF(B:B,Table1[[#This Row],[Namn]])</f>
        <v>8</v>
      </c>
      <c r="P99" s="97">
        <f>SUMIF(B:B,Table1[[#This Row],[Namn]],G:G)</f>
        <v>29</v>
      </c>
      <c r="Q99" s="97">
        <f>SUMIF(B:B,Table1[[#This Row],[Namn]],E:E)</f>
        <v>9</v>
      </c>
      <c r="R99" s="97">
        <f>SUMIF(B:B,Table1[[#This Row],[Namn]],F:F)</f>
        <v>0</v>
      </c>
      <c r="X99" s="98"/>
      <c r="AA99" s="106"/>
      <c r="AB99" s="106"/>
      <c r="AC99" s="106"/>
      <c r="AD99" s="106"/>
      <c r="AE99" s="106"/>
      <c r="AF99" s="106"/>
      <c r="AG99" s="106"/>
      <c r="AH99" s="106"/>
    </row>
    <row r="100" spans="1:44" x14ac:dyDescent="0.25">
      <c r="A100" s="97">
        <v>2023</v>
      </c>
      <c r="B100" s="98" t="s">
        <v>69</v>
      </c>
      <c r="C100" s="97">
        <v>22</v>
      </c>
      <c r="D100" s="99">
        <f>IFERROR(Table1[[#This Row],[MAT]]/Table1[[#This Row],[LAG MATCH]],"")</f>
        <v>1</v>
      </c>
      <c r="E100" s="97">
        <v>1</v>
      </c>
      <c r="F100" s="97">
        <v>0</v>
      </c>
      <c r="G100" s="97">
        <v>0</v>
      </c>
      <c r="H100" s="97">
        <v>22</v>
      </c>
      <c r="I100" s="100">
        <f t="shared" si="7"/>
        <v>0</v>
      </c>
      <c r="J100" s="97">
        <f>Table1[[#This Row],[ÅR]]</f>
        <v>2023</v>
      </c>
      <c r="K100" s="97">
        <v>1996</v>
      </c>
      <c r="L100" s="97">
        <f>Table1[[#This Row],[SENASTE]]-Table1[[#This Row],[FÖDD]]</f>
        <v>27</v>
      </c>
      <c r="M100" s="97">
        <v>2</v>
      </c>
      <c r="N100" s="97">
        <f>SUMIF(B:B,Table1[[#This Row],[Namn]],C:C)</f>
        <v>105</v>
      </c>
      <c r="O100" s="97">
        <f>COUNTIF(B:B,Table1[[#This Row],[Namn]])</f>
        <v>6</v>
      </c>
      <c r="P100" s="97">
        <f>SUMIF(B:B,Table1[[#This Row],[Namn]],G:G)</f>
        <v>11</v>
      </c>
      <c r="Q100" s="97">
        <f>SUMIF(B:B,Table1[[#This Row],[Namn]],E:E)</f>
        <v>1</v>
      </c>
      <c r="R100" s="97">
        <f>SUMIF(B:B,Table1[[#This Row],[Namn]],F:F)</f>
        <v>0</v>
      </c>
      <c r="X100" s="98"/>
      <c r="AA100" s="106"/>
      <c r="AB100" s="106"/>
      <c r="AC100" s="106"/>
      <c r="AD100" s="106"/>
      <c r="AE100" s="106"/>
      <c r="AF100" s="106"/>
      <c r="AG100" s="106"/>
      <c r="AH100" s="106"/>
    </row>
    <row r="101" spans="1:44" x14ac:dyDescent="0.25">
      <c r="A101" s="97">
        <v>2023</v>
      </c>
      <c r="B101" s="98" t="s">
        <v>70</v>
      </c>
      <c r="C101" s="97">
        <v>21</v>
      </c>
      <c r="D101" s="99">
        <f>IFERROR(Table1[[#This Row],[MAT]]/Table1[[#This Row],[LAG MATCH]],"")</f>
        <v>0.95454545454545459</v>
      </c>
      <c r="E101" s="97">
        <v>1</v>
      </c>
      <c r="F101" s="97">
        <v>0</v>
      </c>
      <c r="G101" s="97">
        <v>10</v>
      </c>
      <c r="H101" s="97">
        <v>22</v>
      </c>
      <c r="I101" s="100">
        <f t="shared" si="7"/>
        <v>0.47619047619047616</v>
      </c>
      <c r="J101" s="97">
        <f>Table1[[#This Row],[ÅR]]</f>
        <v>2023</v>
      </c>
      <c r="K101" s="97">
        <v>1997</v>
      </c>
      <c r="L101" s="97">
        <f>Table1[[#This Row],[SENASTE]]-Table1[[#This Row],[FÖDD]]</f>
        <v>26</v>
      </c>
      <c r="M101" s="97">
        <v>2</v>
      </c>
      <c r="N101" s="97">
        <f>SUMIF(B:B,Table1[[#This Row],[Namn]],C:C)</f>
        <v>70</v>
      </c>
      <c r="O101" s="97">
        <f>COUNTIF(B:B,Table1[[#This Row],[Namn]])</f>
        <v>4</v>
      </c>
      <c r="P101" s="97">
        <f>SUMIF(B:B,Table1[[#This Row],[Namn]],G:G)</f>
        <v>38</v>
      </c>
      <c r="Q101" s="97">
        <f>SUMIF(B:B,Table1[[#This Row],[Namn]],E:E)</f>
        <v>2</v>
      </c>
      <c r="R101" s="97">
        <f>SUMIF(B:B,Table1[[#This Row],[Namn]],F:F)</f>
        <v>0</v>
      </c>
      <c r="X101" s="98"/>
      <c r="AA101" s="106"/>
      <c r="AB101" s="106"/>
      <c r="AC101" s="106"/>
      <c r="AD101" s="106"/>
      <c r="AE101" s="106"/>
      <c r="AF101" s="106"/>
      <c r="AG101" s="106"/>
      <c r="AH101" s="106"/>
    </row>
    <row r="102" spans="1:44" x14ac:dyDescent="0.25">
      <c r="A102" s="97">
        <v>2023</v>
      </c>
      <c r="B102" s="98" t="s">
        <v>66</v>
      </c>
      <c r="C102" s="97">
        <v>21</v>
      </c>
      <c r="D102" s="99">
        <f>IFERROR(Table1[[#This Row],[MAT]]/Table1[[#This Row],[LAG MATCH]],"")</f>
        <v>0.95454545454545459</v>
      </c>
      <c r="E102" s="97">
        <v>2</v>
      </c>
      <c r="F102" s="97">
        <v>0</v>
      </c>
      <c r="G102" s="97">
        <v>1</v>
      </c>
      <c r="H102" s="97">
        <v>22</v>
      </c>
      <c r="I102" s="100">
        <f t="shared" si="7"/>
        <v>4.7619047619047616E-2</v>
      </c>
      <c r="J102" s="97">
        <f>Table1[[#This Row],[ÅR]]</f>
        <v>2023</v>
      </c>
      <c r="K102" s="97">
        <v>1997</v>
      </c>
      <c r="L102" s="97">
        <f>Table1[[#This Row],[SENASTE]]-Table1[[#This Row],[FÖDD]]</f>
        <v>26</v>
      </c>
      <c r="M102" s="97">
        <v>2</v>
      </c>
      <c r="N102" s="97">
        <f>SUMIF(B:B,Table1[[#This Row],[Namn]],C:C)</f>
        <v>32</v>
      </c>
      <c r="O102" s="97">
        <f>COUNTIF(B:B,Table1[[#This Row],[Namn]])</f>
        <v>3</v>
      </c>
      <c r="P102" s="97">
        <f>SUMIF(B:B,Table1[[#This Row],[Namn]],G:G)</f>
        <v>1</v>
      </c>
      <c r="Q102" s="97">
        <f>SUMIF(B:B,Table1[[#This Row],[Namn]],E:E)</f>
        <v>3</v>
      </c>
      <c r="R102" s="97">
        <f>SUMIF(B:B,Table1[[#This Row],[Namn]],F:F)</f>
        <v>0</v>
      </c>
      <c r="X102" s="98"/>
      <c r="AA102" s="106"/>
      <c r="AB102" s="106"/>
      <c r="AC102" s="106"/>
      <c r="AD102" s="106"/>
      <c r="AE102" s="106"/>
      <c r="AF102" s="106"/>
      <c r="AG102" s="106"/>
      <c r="AH102" s="106"/>
    </row>
    <row r="103" spans="1:44" x14ac:dyDescent="0.25">
      <c r="A103" s="97">
        <v>2023</v>
      </c>
      <c r="B103" s="98" t="s">
        <v>59</v>
      </c>
      <c r="C103" s="97">
        <v>21</v>
      </c>
      <c r="D103" s="99">
        <f>IFERROR(Table1[[#This Row],[MAT]]/Table1[[#This Row],[LAG MATCH]],"")</f>
        <v>0.95454545454545459</v>
      </c>
      <c r="E103" s="97">
        <v>2</v>
      </c>
      <c r="F103" s="97">
        <v>0</v>
      </c>
      <c r="G103" s="97">
        <v>0</v>
      </c>
      <c r="H103" s="97">
        <v>22</v>
      </c>
      <c r="I103" s="100">
        <f t="shared" si="7"/>
        <v>0</v>
      </c>
      <c r="J103" s="97">
        <f>Table1[[#This Row],[ÅR]]</f>
        <v>2023</v>
      </c>
      <c r="K103" s="97">
        <v>1989</v>
      </c>
      <c r="L103" s="97">
        <f>Table1[[#This Row],[SENASTE]]-Table1[[#This Row],[FÖDD]]</f>
        <v>34</v>
      </c>
      <c r="M103" s="97">
        <v>2</v>
      </c>
      <c r="N103" s="97">
        <f>SUMIF(B:B,Table1[[#This Row],[Namn]],C:C)</f>
        <v>119</v>
      </c>
      <c r="O103" s="97">
        <f>COUNTIF(B:B,Table1[[#This Row],[Namn]])</f>
        <v>6</v>
      </c>
      <c r="P103" s="97">
        <f>SUMIF(B:B,Table1[[#This Row],[Namn]],G:G)</f>
        <v>6</v>
      </c>
      <c r="Q103" s="97">
        <f>SUMIF(B:B,Table1[[#This Row],[Namn]],E:E)</f>
        <v>3</v>
      </c>
      <c r="R103" s="97">
        <f>SUMIF(B:B,Table1[[#This Row],[Namn]],F:F)</f>
        <v>1</v>
      </c>
      <c r="X103" s="98"/>
      <c r="AA103" s="106"/>
      <c r="AB103" s="106"/>
      <c r="AC103" s="106"/>
      <c r="AD103" s="106"/>
      <c r="AE103" s="106"/>
      <c r="AF103" s="106"/>
      <c r="AG103" s="106"/>
      <c r="AH103" s="106"/>
    </row>
    <row r="104" spans="1:44" x14ac:dyDescent="0.25">
      <c r="A104" s="97">
        <v>2023</v>
      </c>
      <c r="B104" s="98" t="s">
        <v>36</v>
      </c>
      <c r="C104" s="97">
        <v>20</v>
      </c>
      <c r="D104" s="99">
        <f>IFERROR(Table1[[#This Row],[MAT]]/Table1[[#This Row],[LAG MATCH]],"")</f>
        <v>0.90909090909090906</v>
      </c>
      <c r="E104" s="97">
        <v>0</v>
      </c>
      <c r="F104" s="97">
        <v>0</v>
      </c>
      <c r="G104" s="97">
        <v>8</v>
      </c>
      <c r="H104" s="97">
        <v>22</v>
      </c>
      <c r="I104" s="100">
        <f t="shared" si="7"/>
        <v>0.4</v>
      </c>
      <c r="J104" s="97">
        <f>Table1[[#This Row],[ÅR]]</f>
        <v>2023</v>
      </c>
      <c r="K104" s="97">
        <v>2002</v>
      </c>
      <c r="L104" s="97">
        <f>Table1[[#This Row],[SENASTE]]-Table1[[#This Row],[FÖDD]]</f>
        <v>21</v>
      </c>
      <c r="M104" s="97">
        <v>2</v>
      </c>
      <c r="N104" s="97">
        <f>SUMIF(B:B,Table1[[#This Row],[Namn]],C:C)</f>
        <v>63</v>
      </c>
      <c r="O104" s="97">
        <f>COUNTIF(B:B,Table1[[#This Row],[Namn]])</f>
        <v>5</v>
      </c>
      <c r="P104" s="97">
        <f>SUMIF(B:B,Table1[[#This Row],[Namn]],G:G)</f>
        <v>24</v>
      </c>
      <c r="Q104" s="97">
        <f>SUMIF(B:B,Table1[[#This Row],[Namn]],E:E)</f>
        <v>3</v>
      </c>
      <c r="R104" s="97">
        <f>SUMIF(B:B,Table1[[#This Row],[Namn]],F:F)</f>
        <v>0</v>
      </c>
      <c r="X104" s="98"/>
      <c r="AA104" s="106"/>
      <c r="AB104" s="106"/>
      <c r="AC104" s="106"/>
      <c r="AD104" s="106"/>
      <c r="AE104" s="106"/>
      <c r="AF104" s="106"/>
      <c r="AG104" s="106"/>
      <c r="AH104" s="106"/>
    </row>
    <row r="105" spans="1:44" x14ac:dyDescent="0.25">
      <c r="A105" s="97">
        <v>2023</v>
      </c>
      <c r="B105" s="98" t="s">
        <v>43</v>
      </c>
      <c r="C105" s="97">
        <v>19</v>
      </c>
      <c r="D105" s="99">
        <f>IFERROR(Table1[[#This Row],[MAT]]/Table1[[#This Row],[LAG MATCH]],"")</f>
        <v>0.86363636363636365</v>
      </c>
      <c r="E105" s="97">
        <v>0</v>
      </c>
      <c r="F105" s="97">
        <v>0</v>
      </c>
      <c r="G105" s="97">
        <v>6</v>
      </c>
      <c r="H105" s="97">
        <v>22</v>
      </c>
      <c r="I105" s="100">
        <f t="shared" si="7"/>
        <v>0.31578947368421051</v>
      </c>
      <c r="J105" s="97">
        <f>Table1[[#This Row],[ÅR]]</f>
        <v>2023</v>
      </c>
      <c r="K105" s="97">
        <v>2002</v>
      </c>
      <c r="L105" s="97">
        <f>Table1[[#This Row],[SENASTE]]-Table1[[#This Row],[FÖDD]]</f>
        <v>21</v>
      </c>
      <c r="M105" s="97">
        <v>2</v>
      </c>
      <c r="N105" s="97">
        <f>SUMIF(B:B,Table1[[#This Row],[Namn]],C:C)</f>
        <v>53</v>
      </c>
      <c r="O105" s="97">
        <f>COUNTIF(B:B,Table1[[#This Row],[Namn]])</f>
        <v>5</v>
      </c>
      <c r="P105" s="97">
        <f>SUMIF(B:B,Table1[[#This Row],[Namn]],G:G)</f>
        <v>25</v>
      </c>
      <c r="Q105" s="97">
        <f>SUMIF(B:B,Table1[[#This Row],[Namn]],E:E)</f>
        <v>3</v>
      </c>
      <c r="R105" s="97">
        <f>SUMIF(B:B,Table1[[#This Row],[Namn]],F:F)</f>
        <v>0</v>
      </c>
      <c r="X105" s="98"/>
      <c r="AA105" s="106"/>
      <c r="AB105" s="106"/>
      <c r="AC105" s="106"/>
      <c r="AD105" s="106"/>
      <c r="AE105" s="106"/>
      <c r="AF105" s="106"/>
      <c r="AG105" s="106"/>
      <c r="AH105" s="106"/>
    </row>
    <row r="106" spans="1:44" x14ac:dyDescent="0.25">
      <c r="A106" s="97">
        <v>2023</v>
      </c>
      <c r="B106" s="98" t="s">
        <v>71</v>
      </c>
      <c r="C106" s="97">
        <v>16</v>
      </c>
      <c r="D106" s="99">
        <f>IFERROR(Table1[[#This Row],[MAT]]/Table1[[#This Row],[LAG MATCH]],"")</f>
        <v>0.72727272727272729</v>
      </c>
      <c r="E106" s="97">
        <v>0</v>
      </c>
      <c r="F106" s="97">
        <v>0</v>
      </c>
      <c r="G106" s="97">
        <v>0</v>
      </c>
      <c r="H106" s="97">
        <v>22</v>
      </c>
      <c r="I106" s="100">
        <f t="shared" si="7"/>
        <v>0</v>
      </c>
      <c r="J106" s="97">
        <f>Table1[[#This Row],[ÅR]]</f>
        <v>2023</v>
      </c>
      <c r="K106" s="97">
        <v>2004</v>
      </c>
      <c r="L106" s="97">
        <f>Table1[[#This Row],[SENASTE]]-Table1[[#This Row],[FÖDD]]</f>
        <v>19</v>
      </c>
      <c r="M106" s="97">
        <v>2</v>
      </c>
      <c r="N106" s="97">
        <f>SUMIF(B:B,Table1[[#This Row],[Namn]],C:C)</f>
        <v>71</v>
      </c>
      <c r="O106" s="97">
        <f>COUNTIF(B:B,Table1[[#This Row],[Namn]])</f>
        <v>5</v>
      </c>
      <c r="P106" s="97">
        <f>SUMIF(B:B,Table1[[#This Row],[Namn]],G:G)</f>
        <v>0</v>
      </c>
      <c r="Q106" s="97">
        <f>SUMIF(B:B,Table1[[#This Row],[Namn]],E:E)</f>
        <v>0</v>
      </c>
      <c r="R106" s="97">
        <f>SUMIF(B:B,Table1[[#This Row],[Namn]],F:F)</f>
        <v>0</v>
      </c>
      <c r="X106" s="98"/>
      <c r="AA106" s="106"/>
      <c r="AB106" s="106"/>
      <c r="AC106" s="106"/>
      <c r="AD106" s="106"/>
      <c r="AE106" s="106"/>
      <c r="AF106" s="106"/>
      <c r="AG106" s="106"/>
      <c r="AH106" s="106"/>
    </row>
    <row r="107" spans="1:44" x14ac:dyDescent="0.25">
      <c r="A107" s="97">
        <v>2023</v>
      </c>
      <c r="B107" s="98" t="s">
        <v>72</v>
      </c>
      <c r="C107" s="97">
        <v>14</v>
      </c>
      <c r="D107" s="99">
        <f>IFERROR(Table1[[#This Row],[MAT]]/Table1[[#This Row],[LAG MATCH]],"")</f>
        <v>0.63636363636363635</v>
      </c>
      <c r="E107" s="97">
        <v>1</v>
      </c>
      <c r="F107" s="97">
        <v>0</v>
      </c>
      <c r="G107" s="97">
        <v>4</v>
      </c>
      <c r="H107" s="97">
        <v>22</v>
      </c>
      <c r="I107" s="100">
        <f t="shared" si="7"/>
        <v>0.2857142857142857</v>
      </c>
      <c r="J107" s="97">
        <f>Table1[[#This Row],[ÅR]]</f>
        <v>2023</v>
      </c>
      <c r="K107" s="97">
        <v>2003</v>
      </c>
      <c r="L107" s="97">
        <f>Table1[[#This Row],[SENASTE]]-Table1[[#This Row],[FÖDD]]</f>
        <v>20</v>
      </c>
      <c r="M107" s="97">
        <v>2</v>
      </c>
      <c r="N107" s="97">
        <f>SUMIF(B:B,Table1[[#This Row],[Namn]],C:C)</f>
        <v>14</v>
      </c>
      <c r="O107" s="97">
        <f>COUNTIF(B:B,Table1[[#This Row],[Namn]])</f>
        <v>1</v>
      </c>
      <c r="P107" s="97">
        <f>SUMIF(B:B,Table1[[#This Row],[Namn]],G:G)</f>
        <v>4</v>
      </c>
      <c r="Q107" s="97">
        <f>SUMIF(B:B,Table1[[#This Row],[Namn]],E:E)</f>
        <v>1</v>
      </c>
      <c r="R107" s="97">
        <f>SUMIF(B:B,Table1[[#This Row],[Namn]],F:F)</f>
        <v>0</v>
      </c>
      <c r="X107" s="98"/>
      <c r="AA107" s="106"/>
      <c r="AB107" s="106"/>
      <c r="AC107" s="106"/>
      <c r="AD107" s="106"/>
      <c r="AE107" s="106"/>
      <c r="AF107" s="106"/>
      <c r="AG107" s="106"/>
      <c r="AH107" s="106"/>
    </row>
    <row r="108" spans="1:44" x14ac:dyDescent="0.25">
      <c r="A108" s="97">
        <v>2023</v>
      </c>
      <c r="B108" s="98" t="s">
        <v>73</v>
      </c>
      <c r="C108" s="97">
        <v>14</v>
      </c>
      <c r="D108" s="99">
        <f>IFERROR(Table1[[#This Row],[MAT]]/Table1[[#This Row],[LAG MATCH]],"")</f>
        <v>0.63636363636363635</v>
      </c>
      <c r="E108" s="97">
        <v>0</v>
      </c>
      <c r="F108" s="97">
        <v>0</v>
      </c>
      <c r="G108" s="97">
        <v>1</v>
      </c>
      <c r="H108" s="97">
        <v>22</v>
      </c>
      <c r="I108" s="100">
        <f t="shared" si="7"/>
        <v>7.1428571428571425E-2</v>
      </c>
      <c r="J108" s="97">
        <f>Table1[[#This Row],[ÅR]]</f>
        <v>2023</v>
      </c>
      <c r="K108" s="97">
        <v>2008</v>
      </c>
      <c r="L108" s="97">
        <f>Table1[[#This Row],[SENASTE]]-Table1[[#This Row],[FÖDD]]</f>
        <v>15</v>
      </c>
      <c r="M108" s="97">
        <v>2</v>
      </c>
      <c r="N108" s="97">
        <f>SUMIF(B:B,Table1[[#This Row],[Namn]],C:C)</f>
        <v>14</v>
      </c>
      <c r="O108" s="97">
        <f>COUNTIF(B:B,Table1[[#This Row],[Namn]])</f>
        <v>1</v>
      </c>
      <c r="P108" s="97">
        <f>SUMIF(B:B,Table1[[#This Row],[Namn]],G:G)</f>
        <v>1</v>
      </c>
      <c r="Q108" s="97">
        <f>SUMIF(B:B,Table1[[#This Row],[Namn]],E:E)</f>
        <v>0</v>
      </c>
      <c r="R108" s="97">
        <f>SUMIF(B:B,Table1[[#This Row],[Namn]],F:F)</f>
        <v>0</v>
      </c>
      <c r="X108" s="98"/>
      <c r="AA108" s="106"/>
      <c r="AB108" s="106"/>
      <c r="AC108" s="106"/>
      <c r="AD108" s="106"/>
      <c r="AE108" s="106"/>
      <c r="AF108" s="106"/>
      <c r="AG108" s="106"/>
      <c r="AH108" s="106"/>
    </row>
    <row r="109" spans="1:44" x14ac:dyDescent="0.25">
      <c r="A109" s="97">
        <v>2023</v>
      </c>
      <c r="B109" s="98" t="s">
        <v>74</v>
      </c>
      <c r="C109" s="97">
        <v>13</v>
      </c>
      <c r="D109" s="99">
        <f>IFERROR(Table1[[#This Row],[MAT]]/Table1[[#This Row],[LAG MATCH]],"")</f>
        <v>0.59090909090909094</v>
      </c>
      <c r="E109" s="97">
        <v>0</v>
      </c>
      <c r="F109" s="97">
        <v>0</v>
      </c>
      <c r="G109" s="97">
        <v>0</v>
      </c>
      <c r="H109" s="97">
        <v>22</v>
      </c>
      <c r="I109" s="100">
        <f t="shared" si="7"/>
        <v>0</v>
      </c>
      <c r="J109" s="97">
        <f>Table1[[#This Row],[ÅR]]</f>
        <v>2023</v>
      </c>
      <c r="K109" s="97">
        <v>1996</v>
      </c>
      <c r="L109" s="97">
        <f>Table1[[#This Row],[SENASTE]]-Table1[[#This Row],[FÖDD]]</f>
        <v>27</v>
      </c>
      <c r="M109" s="97">
        <v>2</v>
      </c>
      <c r="N109" s="97">
        <f>SUMIF(B:B,Table1[[#This Row],[Namn]],C:C)</f>
        <v>200</v>
      </c>
      <c r="O109" s="97">
        <f>COUNTIF(B:B,Table1[[#This Row],[Namn]])</f>
        <v>12</v>
      </c>
      <c r="P109" s="97">
        <f>SUMIF(B:B,Table1[[#This Row],[Namn]],G:G)</f>
        <v>9</v>
      </c>
      <c r="Q109" s="97">
        <f>SUMIF(B:B,Table1[[#This Row],[Namn]],E:E)</f>
        <v>1</v>
      </c>
      <c r="R109" s="97">
        <f>SUMIF(B:B,Table1[[#This Row],[Namn]],F:F)</f>
        <v>0</v>
      </c>
      <c r="X109" s="98"/>
      <c r="AA109" s="106"/>
      <c r="AB109" s="106"/>
      <c r="AC109" s="106"/>
      <c r="AD109" s="106"/>
      <c r="AE109" s="106"/>
      <c r="AF109" s="106"/>
      <c r="AG109" s="106"/>
      <c r="AH109" s="106"/>
    </row>
    <row r="110" spans="1:44" x14ac:dyDescent="0.25">
      <c r="A110" s="97">
        <v>2023</v>
      </c>
      <c r="B110" s="98" t="s">
        <v>62</v>
      </c>
      <c r="C110" s="97">
        <v>12</v>
      </c>
      <c r="D110" s="99">
        <f>IFERROR(Table1[[#This Row],[MAT]]/Table1[[#This Row],[LAG MATCH]],"")</f>
        <v>0.54545454545454541</v>
      </c>
      <c r="E110" s="97">
        <v>0</v>
      </c>
      <c r="F110" s="97">
        <v>0</v>
      </c>
      <c r="G110" s="97">
        <v>0</v>
      </c>
      <c r="H110" s="97">
        <v>22</v>
      </c>
      <c r="I110" s="100">
        <f t="shared" si="7"/>
        <v>0</v>
      </c>
      <c r="J110" s="97">
        <f>Table1[[#This Row],[ÅR]]</f>
        <v>2023</v>
      </c>
      <c r="K110" s="97">
        <v>2001</v>
      </c>
      <c r="L110" s="97">
        <f>Table1[[#This Row],[SENASTE]]-Table1[[#This Row],[FÖDD]]</f>
        <v>22</v>
      </c>
      <c r="M110" s="97">
        <v>2</v>
      </c>
      <c r="N110" s="97">
        <f>SUMIF(B:B,Table1[[#This Row],[Namn]],C:C)</f>
        <v>23</v>
      </c>
      <c r="O110" s="97">
        <f>COUNTIF(B:B,Table1[[#This Row],[Namn]])</f>
        <v>2</v>
      </c>
      <c r="P110" s="97">
        <f>SUMIF(B:B,Table1[[#This Row],[Namn]],G:G)</f>
        <v>0</v>
      </c>
      <c r="Q110" s="97">
        <f>SUMIF(B:B,Table1[[#This Row],[Namn]],E:E)</f>
        <v>0</v>
      </c>
      <c r="R110" s="97">
        <f>SUMIF(B:B,Table1[[#This Row],[Namn]],F:F)</f>
        <v>0</v>
      </c>
      <c r="X110" s="98"/>
      <c r="AA110" s="106"/>
      <c r="AB110" s="106"/>
      <c r="AC110" s="106"/>
      <c r="AD110" s="106"/>
      <c r="AE110" s="106"/>
      <c r="AF110" s="106"/>
      <c r="AG110" s="106"/>
      <c r="AH110" s="106"/>
    </row>
    <row r="111" spans="1:44" x14ac:dyDescent="0.25">
      <c r="A111" s="97">
        <v>2023</v>
      </c>
      <c r="B111" s="98" t="s">
        <v>61</v>
      </c>
      <c r="C111" s="97">
        <v>11</v>
      </c>
      <c r="D111" s="99">
        <f>IFERROR(Table1[[#This Row],[MAT]]/Table1[[#This Row],[LAG MATCH]],"")</f>
        <v>0.5</v>
      </c>
      <c r="E111" s="97">
        <v>1</v>
      </c>
      <c r="F111" s="97">
        <v>0</v>
      </c>
      <c r="G111" s="97">
        <v>0</v>
      </c>
      <c r="H111" s="97">
        <v>22</v>
      </c>
      <c r="I111" s="100">
        <f t="shared" si="7"/>
        <v>0</v>
      </c>
      <c r="J111" s="97">
        <f>Table1[[#This Row],[ÅR]]</f>
        <v>2023</v>
      </c>
      <c r="K111" s="97">
        <v>2003</v>
      </c>
      <c r="L111" s="97">
        <f>Table1[[#This Row],[SENASTE]]-Table1[[#This Row],[FÖDD]]</f>
        <v>20</v>
      </c>
      <c r="M111" s="97">
        <v>2</v>
      </c>
      <c r="N111" s="97">
        <f>SUMIF(B:B,Table1[[#This Row],[Namn]],C:C)</f>
        <v>22</v>
      </c>
      <c r="O111" s="97">
        <f>COUNTIF(B:B,Table1[[#This Row],[Namn]])</f>
        <v>2</v>
      </c>
      <c r="P111" s="97">
        <f>SUMIF(B:B,Table1[[#This Row],[Namn]],G:G)</f>
        <v>3</v>
      </c>
      <c r="Q111" s="97">
        <f>SUMIF(B:B,Table1[[#This Row],[Namn]],E:E)</f>
        <v>1</v>
      </c>
      <c r="R111" s="97">
        <f>SUMIF(B:B,Table1[[#This Row],[Namn]],F:F)</f>
        <v>0</v>
      </c>
      <c r="X111" s="98"/>
      <c r="AA111" s="106"/>
      <c r="AB111" s="106"/>
      <c r="AC111" s="106"/>
      <c r="AD111" s="106"/>
      <c r="AE111" s="106"/>
      <c r="AF111" s="106"/>
      <c r="AG111" s="106"/>
      <c r="AH111" s="106"/>
    </row>
    <row r="112" spans="1:44" x14ac:dyDescent="0.25">
      <c r="A112" s="97">
        <v>2023</v>
      </c>
      <c r="B112" s="98" t="s">
        <v>58</v>
      </c>
      <c r="C112" s="97">
        <v>11</v>
      </c>
      <c r="D112" s="99">
        <f>IFERROR(Table1[[#This Row],[MAT]]/Table1[[#This Row],[LAG MATCH]],"")</f>
        <v>0.5</v>
      </c>
      <c r="E112" s="97">
        <v>0</v>
      </c>
      <c r="F112" s="97">
        <v>0</v>
      </c>
      <c r="G112" s="97">
        <v>0</v>
      </c>
      <c r="H112" s="97">
        <v>22</v>
      </c>
      <c r="I112" s="100">
        <f t="shared" si="7"/>
        <v>0</v>
      </c>
      <c r="J112" s="97">
        <f>Table1[[#This Row],[ÅR]]</f>
        <v>2023</v>
      </c>
      <c r="K112" s="97">
        <v>1999</v>
      </c>
      <c r="L112" s="97">
        <f>Table1[[#This Row],[SENASTE]]-Table1[[#This Row],[FÖDD]]</f>
        <v>24</v>
      </c>
      <c r="M112" s="97">
        <v>2</v>
      </c>
      <c r="N112" s="97">
        <f>SUMIF(B:B,Table1[[#This Row],[Namn]],C:C)</f>
        <v>36</v>
      </c>
      <c r="O112" s="97">
        <f>COUNTIF(B:B,Table1[[#This Row],[Namn]])</f>
        <v>2</v>
      </c>
      <c r="P112" s="97">
        <f>SUMIF(B:B,Table1[[#This Row],[Namn]],G:G)</f>
        <v>0</v>
      </c>
      <c r="Q112" s="97">
        <f>SUMIF(B:B,Table1[[#This Row],[Namn]],E:E)</f>
        <v>0</v>
      </c>
      <c r="R112" s="97">
        <f>SUMIF(B:B,Table1[[#This Row],[Namn]],F:F)</f>
        <v>0</v>
      </c>
      <c r="X112" s="98"/>
      <c r="AA112" s="106"/>
      <c r="AB112" s="106"/>
      <c r="AC112" s="106"/>
      <c r="AD112" s="106"/>
      <c r="AE112" s="106"/>
      <c r="AF112" s="106"/>
      <c r="AG112" s="106"/>
      <c r="AH112" s="106"/>
    </row>
    <row r="113" spans="1:34" x14ac:dyDescent="0.25">
      <c r="A113" s="97">
        <v>2023</v>
      </c>
      <c r="B113" s="98" t="s">
        <v>75</v>
      </c>
      <c r="C113" s="97">
        <v>11</v>
      </c>
      <c r="D113" s="99">
        <f>IFERROR(Table1[[#This Row],[MAT]]/Table1[[#This Row],[LAG MATCH]],"")</f>
        <v>0.5</v>
      </c>
      <c r="E113" s="97">
        <v>0</v>
      </c>
      <c r="F113" s="97">
        <v>0</v>
      </c>
      <c r="G113" s="97">
        <v>0</v>
      </c>
      <c r="H113" s="97">
        <v>22</v>
      </c>
      <c r="I113" s="100">
        <f t="shared" si="7"/>
        <v>0</v>
      </c>
      <c r="J113" s="97">
        <f>Table1[[#This Row],[ÅR]]</f>
        <v>2023</v>
      </c>
      <c r="K113" s="97">
        <v>1999</v>
      </c>
      <c r="L113" s="97">
        <f>Table1[[#This Row],[SENASTE]]-Table1[[#This Row],[FÖDD]]</f>
        <v>24</v>
      </c>
      <c r="M113" s="97">
        <v>2</v>
      </c>
      <c r="N113" s="97">
        <f>SUMIF(B:B,Table1[[#This Row],[Namn]],C:C)</f>
        <v>30</v>
      </c>
      <c r="O113" s="97">
        <f>COUNTIF(B:B,Table1[[#This Row],[Namn]])</f>
        <v>3</v>
      </c>
      <c r="P113" s="97">
        <f>SUMIF(B:B,Table1[[#This Row],[Namn]],G:G)</f>
        <v>0</v>
      </c>
      <c r="Q113" s="97">
        <f>SUMIF(B:B,Table1[[#This Row],[Namn]],E:E)</f>
        <v>0</v>
      </c>
      <c r="R113" s="97">
        <f>SUMIF(B:B,Table1[[#This Row],[Namn]],F:F)</f>
        <v>0</v>
      </c>
      <c r="X113" s="98"/>
      <c r="AA113" s="106"/>
      <c r="AB113" s="106"/>
      <c r="AC113" s="106"/>
      <c r="AD113" s="106"/>
      <c r="AE113" s="106"/>
      <c r="AF113" s="106"/>
      <c r="AG113" s="106"/>
      <c r="AH113" s="106"/>
    </row>
    <row r="114" spans="1:34" x14ac:dyDescent="0.25">
      <c r="A114" s="97">
        <v>2023</v>
      </c>
      <c r="B114" s="98" t="s">
        <v>26</v>
      </c>
      <c r="C114" s="97">
        <v>9</v>
      </c>
      <c r="D114" s="99">
        <f>IFERROR(Table1[[#This Row],[MAT]]/Table1[[#This Row],[LAG MATCH]],"")</f>
        <v>0.40909090909090912</v>
      </c>
      <c r="E114" s="97">
        <v>0</v>
      </c>
      <c r="F114" s="97">
        <v>0</v>
      </c>
      <c r="G114" s="97">
        <v>0</v>
      </c>
      <c r="H114" s="97">
        <v>22</v>
      </c>
      <c r="I114" s="100">
        <f t="shared" si="7"/>
        <v>0</v>
      </c>
      <c r="J114" s="97">
        <f>Table1[[#This Row],[ÅR]]</f>
        <v>2023</v>
      </c>
      <c r="K114" s="97">
        <v>2007</v>
      </c>
      <c r="L114" s="97">
        <f>Table1[[#This Row],[SENASTE]]-Table1[[#This Row],[FÖDD]]</f>
        <v>16</v>
      </c>
      <c r="M114" s="97">
        <v>2</v>
      </c>
      <c r="N114" s="97">
        <f>SUMIF(B:B,Table1[[#This Row],[Namn]],C:C)</f>
        <v>16</v>
      </c>
      <c r="O114" s="97">
        <f>COUNTIF(B:B,Table1[[#This Row],[Namn]])</f>
        <v>4</v>
      </c>
      <c r="P114" s="97">
        <f>SUMIF(B:B,Table1[[#This Row],[Namn]],G:G)</f>
        <v>0</v>
      </c>
      <c r="Q114" s="97">
        <f>SUMIF(B:B,Table1[[#This Row],[Namn]],E:E)</f>
        <v>0</v>
      </c>
      <c r="R114" s="97">
        <f>SUMIF(B:B,Table1[[#This Row],[Namn]],F:F)</f>
        <v>0</v>
      </c>
      <c r="X114" s="98"/>
    </row>
    <row r="115" spans="1:34" x14ac:dyDescent="0.25">
      <c r="A115" s="97">
        <v>2023</v>
      </c>
      <c r="B115" s="98" t="s">
        <v>29</v>
      </c>
      <c r="C115" s="97">
        <v>8</v>
      </c>
      <c r="D115" s="99">
        <f>IFERROR(Table1[[#This Row],[MAT]]/Table1[[#This Row],[LAG MATCH]],"")</f>
        <v>0.36363636363636365</v>
      </c>
      <c r="E115" s="97">
        <v>0</v>
      </c>
      <c r="F115" s="97">
        <v>0</v>
      </c>
      <c r="G115" s="97">
        <v>2</v>
      </c>
      <c r="H115" s="97">
        <v>22</v>
      </c>
      <c r="I115" s="100">
        <f t="shared" si="7"/>
        <v>0.25</v>
      </c>
      <c r="J115" s="97">
        <f>Table1[[#This Row],[ÅR]]</f>
        <v>2023</v>
      </c>
      <c r="K115" s="97">
        <v>2007</v>
      </c>
      <c r="L115" s="97">
        <f>Table1[[#This Row],[SENASTE]]-Table1[[#This Row],[FÖDD]]</f>
        <v>16</v>
      </c>
      <c r="M115" s="97">
        <v>2</v>
      </c>
      <c r="N115" s="97">
        <f>SUMIF(B:B,Table1[[#This Row],[Namn]],C:C)</f>
        <v>43</v>
      </c>
      <c r="O115" s="97">
        <f>COUNTIF(B:B,Table1[[#This Row],[Namn]])</f>
        <v>5</v>
      </c>
      <c r="P115" s="97">
        <f>SUMIF(B:B,Table1[[#This Row],[Namn]],G:G)</f>
        <v>14</v>
      </c>
      <c r="Q115" s="97">
        <f>SUMIF(B:B,Table1[[#This Row],[Namn]],E:E)</f>
        <v>1</v>
      </c>
      <c r="R115" s="97">
        <f>SUMIF(B:B,Table1[[#This Row],[Namn]],F:F)</f>
        <v>0</v>
      </c>
      <c r="X115" s="98"/>
    </row>
    <row r="116" spans="1:34" x14ac:dyDescent="0.25">
      <c r="A116" s="97">
        <v>2023</v>
      </c>
      <c r="B116" s="98" t="s">
        <v>76</v>
      </c>
      <c r="C116" s="97">
        <v>8</v>
      </c>
      <c r="D116" s="99">
        <f>IFERROR(Table1[[#This Row],[MAT]]/Table1[[#This Row],[LAG MATCH]],"")</f>
        <v>0.36363636363636365</v>
      </c>
      <c r="E116" s="97">
        <v>1</v>
      </c>
      <c r="F116" s="97">
        <v>0</v>
      </c>
      <c r="G116" s="97">
        <v>0</v>
      </c>
      <c r="H116" s="97">
        <v>22</v>
      </c>
      <c r="I116" s="100">
        <f t="shared" si="7"/>
        <v>0</v>
      </c>
      <c r="J116" s="97">
        <f>Table1[[#This Row],[ÅR]]</f>
        <v>2023</v>
      </c>
      <c r="K116" s="97">
        <v>1991</v>
      </c>
      <c r="L116" s="97">
        <f>Table1[[#This Row],[SENASTE]]-Table1[[#This Row],[FÖDD]]</f>
        <v>32</v>
      </c>
      <c r="M116" s="97">
        <v>2</v>
      </c>
      <c r="N116" s="97">
        <f>SUMIF(B:B,Table1[[#This Row],[Namn]],C:C)</f>
        <v>21</v>
      </c>
      <c r="O116" s="97">
        <f>COUNTIF(B:B,Table1[[#This Row],[Namn]])</f>
        <v>2</v>
      </c>
      <c r="P116" s="97">
        <f>SUMIF(B:B,Table1[[#This Row],[Namn]],G:G)</f>
        <v>2</v>
      </c>
      <c r="Q116" s="97">
        <f>SUMIF(B:B,Table1[[#This Row],[Namn]],E:E)</f>
        <v>1</v>
      </c>
      <c r="R116" s="97">
        <f>SUMIF(B:B,Table1[[#This Row],[Namn]],F:F)</f>
        <v>0</v>
      </c>
      <c r="X116" s="98"/>
    </row>
    <row r="117" spans="1:34" x14ac:dyDescent="0.25">
      <c r="A117" s="97">
        <v>2023</v>
      </c>
      <c r="B117" s="98" t="s">
        <v>50</v>
      </c>
      <c r="C117" s="97">
        <v>8</v>
      </c>
      <c r="D117" s="99">
        <f>IFERROR(Table1[[#This Row],[MAT]]/Table1[[#This Row],[LAG MATCH]],"")</f>
        <v>0.36363636363636365</v>
      </c>
      <c r="E117" s="97">
        <v>0</v>
      </c>
      <c r="F117" s="97">
        <v>0</v>
      </c>
      <c r="G117" s="97">
        <v>0</v>
      </c>
      <c r="H117" s="97">
        <v>22</v>
      </c>
      <c r="I117" s="100">
        <f t="shared" si="7"/>
        <v>0</v>
      </c>
      <c r="J117" s="97">
        <f>Table1[[#This Row],[ÅR]]</f>
        <v>2023</v>
      </c>
      <c r="K117" s="97">
        <v>1993</v>
      </c>
      <c r="L117" s="97">
        <f>Table1[[#This Row],[SENASTE]]-Table1[[#This Row],[FÖDD]]</f>
        <v>30</v>
      </c>
      <c r="M117" s="97">
        <v>2</v>
      </c>
      <c r="N117" s="97">
        <f>SUMIF(B:B,Table1[[#This Row],[Namn]],C:C)</f>
        <v>92</v>
      </c>
      <c r="O117" s="97">
        <f>COUNTIF(B:B,Table1[[#This Row],[Namn]])</f>
        <v>7</v>
      </c>
      <c r="P117" s="97">
        <f>SUMIF(B:B,Table1[[#This Row],[Namn]],G:G)</f>
        <v>5</v>
      </c>
      <c r="Q117" s="97">
        <f>SUMIF(B:B,Table1[[#This Row],[Namn]],E:E)</f>
        <v>4</v>
      </c>
      <c r="R117" s="97">
        <f>SUMIF(B:B,Table1[[#This Row],[Namn]],F:F)</f>
        <v>0</v>
      </c>
      <c r="X117" s="98"/>
    </row>
    <row r="118" spans="1:34" x14ac:dyDescent="0.25">
      <c r="A118" s="97">
        <v>2023</v>
      </c>
      <c r="B118" s="98" t="s">
        <v>77</v>
      </c>
      <c r="C118" s="97">
        <v>7</v>
      </c>
      <c r="D118" s="99">
        <f>IFERROR(Table1[[#This Row],[MAT]]/Table1[[#This Row],[LAG MATCH]],"")</f>
        <v>0.31818181818181818</v>
      </c>
      <c r="E118" s="97">
        <v>0</v>
      </c>
      <c r="F118" s="97">
        <v>0</v>
      </c>
      <c r="G118" s="97">
        <v>0</v>
      </c>
      <c r="H118" s="97">
        <v>22</v>
      </c>
      <c r="I118" s="100">
        <f t="shared" si="7"/>
        <v>0</v>
      </c>
      <c r="J118" s="97">
        <f>Table1[[#This Row],[ÅR]]</f>
        <v>2023</v>
      </c>
      <c r="K118" s="97">
        <v>1994</v>
      </c>
      <c r="L118" s="97">
        <f>Table1[[#This Row],[SENASTE]]-Table1[[#This Row],[FÖDD]]</f>
        <v>29</v>
      </c>
      <c r="M118" s="97">
        <v>2</v>
      </c>
      <c r="N118" s="97">
        <f>SUMIF(B:B,Table1[[#This Row],[Namn]],C:C)</f>
        <v>7</v>
      </c>
      <c r="O118" s="97">
        <f>COUNTIF(B:B,Table1[[#This Row],[Namn]])</f>
        <v>1</v>
      </c>
      <c r="P118" s="97">
        <f>SUMIF(B:B,Table1[[#This Row],[Namn]],G:G)</f>
        <v>0</v>
      </c>
      <c r="Q118" s="97">
        <f>SUMIF(B:B,Table1[[#This Row],[Namn]],E:E)</f>
        <v>0</v>
      </c>
      <c r="R118" s="97">
        <f>SUMIF(B:B,Table1[[#This Row],[Namn]],F:F)</f>
        <v>0</v>
      </c>
      <c r="X118" s="98"/>
    </row>
    <row r="119" spans="1:34" x14ac:dyDescent="0.25">
      <c r="A119" s="97">
        <v>2023</v>
      </c>
      <c r="B119" s="98" t="s">
        <v>64</v>
      </c>
      <c r="C119" s="97">
        <v>6</v>
      </c>
      <c r="D119" s="99">
        <f>IFERROR(Table1[[#This Row],[MAT]]/Table1[[#This Row],[LAG MATCH]],"")</f>
        <v>0.27272727272727271</v>
      </c>
      <c r="E119" s="97">
        <v>0</v>
      </c>
      <c r="F119" s="97">
        <v>0</v>
      </c>
      <c r="G119" s="97">
        <v>1</v>
      </c>
      <c r="H119" s="97">
        <v>22</v>
      </c>
      <c r="I119" s="100">
        <f t="shared" si="7"/>
        <v>0.16666666666666666</v>
      </c>
      <c r="J119" s="97">
        <f>Table1[[#This Row],[ÅR]]</f>
        <v>2023</v>
      </c>
      <c r="K119" s="97">
        <v>2001</v>
      </c>
      <c r="L119" s="97">
        <f>Table1[[#This Row],[SENASTE]]-Table1[[#This Row],[FÖDD]]</f>
        <v>22</v>
      </c>
      <c r="M119" s="97">
        <v>2</v>
      </c>
      <c r="N119" s="97">
        <f>SUMIF(B:B,Table1[[#This Row],[Namn]],C:C)</f>
        <v>48</v>
      </c>
      <c r="O119" s="97">
        <f>COUNTIF(B:B,Table1[[#This Row],[Namn]])</f>
        <v>8</v>
      </c>
      <c r="P119" s="97">
        <f>SUMIF(B:B,Table1[[#This Row],[Namn]],G:G)</f>
        <v>14</v>
      </c>
      <c r="Q119" s="97">
        <f>SUMIF(B:B,Table1[[#This Row],[Namn]],E:E)</f>
        <v>1</v>
      </c>
      <c r="R119" s="97">
        <f>SUMIF(B:B,Table1[[#This Row],[Namn]],F:F)</f>
        <v>0</v>
      </c>
      <c r="X119" s="98"/>
    </row>
    <row r="120" spans="1:34" x14ac:dyDescent="0.25">
      <c r="A120" s="97">
        <v>2023</v>
      </c>
      <c r="B120" s="98" t="s">
        <v>28</v>
      </c>
      <c r="C120" s="97">
        <v>6</v>
      </c>
      <c r="D120" s="99">
        <f>IFERROR(Table1[[#This Row],[MAT]]/Table1[[#This Row],[LAG MATCH]],"")</f>
        <v>0.27272727272727271</v>
      </c>
      <c r="E120" s="97">
        <v>0</v>
      </c>
      <c r="F120" s="97">
        <v>0</v>
      </c>
      <c r="G120" s="97">
        <v>0</v>
      </c>
      <c r="H120" s="97">
        <v>22</v>
      </c>
      <c r="I120" s="100">
        <f t="shared" si="7"/>
        <v>0</v>
      </c>
      <c r="J120" s="97">
        <f>Table1[[#This Row],[ÅR]]</f>
        <v>2023</v>
      </c>
      <c r="K120" s="97">
        <v>2007</v>
      </c>
      <c r="L120" s="97">
        <f>Table1[[#This Row],[SENASTE]]-Table1[[#This Row],[FÖDD]]</f>
        <v>16</v>
      </c>
      <c r="M120" s="97">
        <v>2</v>
      </c>
      <c r="N120" s="97">
        <f>SUMIF(B:B,Table1[[#This Row],[Namn]],C:C)</f>
        <v>41</v>
      </c>
      <c r="O120" s="97">
        <f>COUNTIF(B:B,Table1[[#This Row],[Namn]])</f>
        <v>4</v>
      </c>
      <c r="P120" s="97">
        <f>SUMIF(B:B,Table1[[#This Row],[Namn]],G:G)</f>
        <v>5</v>
      </c>
      <c r="Q120" s="97">
        <f>SUMIF(B:B,Table1[[#This Row],[Namn]],E:E)</f>
        <v>0</v>
      </c>
      <c r="R120" s="97">
        <f>SUMIF(B:B,Table1[[#This Row],[Namn]],F:F)</f>
        <v>0</v>
      </c>
      <c r="X120" s="98"/>
    </row>
    <row r="121" spans="1:34" x14ac:dyDescent="0.25">
      <c r="A121" s="97">
        <v>2023</v>
      </c>
      <c r="B121" s="98" t="s">
        <v>78</v>
      </c>
      <c r="C121" s="97">
        <v>4</v>
      </c>
      <c r="D121" s="99">
        <f>IFERROR(Table1[[#This Row],[MAT]]/Table1[[#This Row],[LAG MATCH]],"")</f>
        <v>0.18181818181818182</v>
      </c>
      <c r="E121" s="97">
        <v>0</v>
      </c>
      <c r="F121" s="97">
        <v>0</v>
      </c>
      <c r="G121" s="97">
        <v>1</v>
      </c>
      <c r="H121" s="97">
        <v>22</v>
      </c>
      <c r="I121" s="100">
        <f t="shared" si="7"/>
        <v>0.25</v>
      </c>
      <c r="J121" s="97">
        <f>Table1[[#This Row],[ÅR]]</f>
        <v>2023</v>
      </c>
      <c r="K121" s="97">
        <v>2006</v>
      </c>
      <c r="L121" s="97">
        <f>Table1[[#This Row],[SENASTE]]-Table1[[#This Row],[FÖDD]]</f>
        <v>17</v>
      </c>
      <c r="M121" s="97">
        <v>2</v>
      </c>
      <c r="N121" s="97">
        <f>SUMIF(B:B,Table1[[#This Row],[Namn]],C:C)</f>
        <v>4</v>
      </c>
      <c r="O121" s="97">
        <f>COUNTIF(B:B,Table1[[#This Row],[Namn]])</f>
        <v>1</v>
      </c>
      <c r="P121" s="97">
        <f>SUMIF(B:B,Table1[[#This Row],[Namn]],G:G)</f>
        <v>1</v>
      </c>
      <c r="Q121" s="97">
        <f>SUMIF(B:B,Table1[[#This Row],[Namn]],E:E)</f>
        <v>0</v>
      </c>
      <c r="R121" s="97">
        <f>SUMIF(B:B,Table1[[#This Row],[Namn]],F:F)</f>
        <v>0</v>
      </c>
      <c r="X121" s="98"/>
    </row>
    <row r="122" spans="1:34" x14ac:dyDescent="0.25">
      <c r="A122" s="97">
        <v>2023</v>
      </c>
      <c r="B122" s="98" t="s">
        <v>79</v>
      </c>
      <c r="C122" s="97">
        <v>4</v>
      </c>
      <c r="D122" s="99">
        <f>IFERROR(Table1[[#This Row],[MAT]]/Table1[[#This Row],[LAG MATCH]],"")</f>
        <v>0.18181818181818182</v>
      </c>
      <c r="E122" s="97">
        <v>0</v>
      </c>
      <c r="F122" s="97">
        <v>0</v>
      </c>
      <c r="G122" s="97">
        <v>0</v>
      </c>
      <c r="H122" s="97">
        <v>22</v>
      </c>
      <c r="I122" s="100">
        <f t="shared" si="7"/>
        <v>0</v>
      </c>
      <c r="J122" s="97">
        <f>Table1[[#This Row],[ÅR]]</f>
        <v>2023</v>
      </c>
      <c r="K122" s="97">
        <v>2004</v>
      </c>
      <c r="L122" s="97">
        <f>Table1[[#This Row],[SENASTE]]-Table1[[#This Row],[FÖDD]]</f>
        <v>19</v>
      </c>
      <c r="M122" s="97">
        <v>2</v>
      </c>
      <c r="N122" s="97">
        <f>SUMIF(B:B,Table1[[#This Row],[Namn]],C:C)</f>
        <v>35</v>
      </c>
      <c r="O122" s="97">
        <f>COUNTIF(B:B,Table1[[#This Row],[Namn]])</f>
        <v>4</v>
      </c>
      <c r="P122" s="97">
        <f>SUMIF(B:B,Table1[[#This Row],[Namn]],G:G)</f>
        <v>1</v>
      </c>
      <c r="Q122" s="97">
        <f>SUMIF(B:B,Table1[[#This Row],[Namn]],E:E)</f>
        <v>0</v>
      </c>
      <c r="R122" s="97">
        <f>SUMIF(B:B,Table1[[#This Row],[Namn]],F:F)</f>
        <v>0</v>
      </c>
      <c r="X122" s="98"/>
    </row>
    <row r="123" spans="1:34" x14ac:dyDescent="0.25">
      <c r="A123" s="97">
        <v>2023</v>
      </c>
      <c r="B123" s="98" t="s">
        <v>80</v>
      </c>
      <c r="C123" s="97">
        <v>4</v>
      </c>
      <c r="D123" s="99">
        <f>IFERROR(Table1[[#This Row],[MAT]]/Table1[[#This Row],[LAG MATCH]],"")</f>
        <v>0.18181818181818182</v>
      </c>
      <c r="E123" s="97">
        <v>0</v>
      </c>
      <c r="F123" s="97">
        <v>0</v>
      </c>
      <c r="G123" s="97">
        <v>0</v>
      </c>
      <c r="H123" s="97">
        <v>22</v>
      </c>
      <c r="I123" s="100">
        <f t="shared" si="7"/>
        <v>0</v>
      </c>
      <c r="J123" s="97">
        <f>Table1[[#This Row],[ÅR]]</f>
        <v>2023</v>
      </c>
      <c r="K123" s="97">
        <v>2004</v>
      </c>
      <c r="L123" s="97">
        <f>Table1[[#This Row],[SENASTE]]-Table1[[#This Row],[FÖDD]]</f>
        <v>19</v>
      </c>
      <c r="M123" s="97">
        <v>2</v>
      </c>
      <c r="N123" s="97">
        <f>SUMIF(B:B,Table1[[#This Row],[Namn]],C:C)</f>
        <v>50</v>
      </c>
      <c r="O123" s="97">
        <f>COUNTIF(B:B,Table1[[#This Row],[Namn]])</f>
        <v>5</v>
      </c>
      <c r="P123" s="97">
        <f>SUMIF(B:B,Table1[[#This Row],[Namn]],G:G)</f>
        <v>6</v>
      </c>
      <c r="Q123" s="97">
        <f>SUMIF(B:B,Table1[[#This Row],[Namn]],E:E)</f>
        <v>0</v>
      </c>
      <c r="R123" s="97">
        <f>SUMIF(B:B,Table1[[#This Row],[Namn]],F:F)</f>
        <v>0</v>
      </c>
      <c r="X123" s="98"/>
    </row>
    <row r="124" spans="1:34" x14ac:dyDescent="0.25">
      <c r="A124" s="97">
        <v>2023</v>
      </c>
      <c r="B124" s="98" t="s">
        <v>65</v>
      </c>
      <c r="C124" s="97">
        <v>1</v>
      </c>
      <c r="D124" s="99">
        <f>IFERROR(Table1[[#This Row],[MAT]]/Table1[[#This Row],[LAG MATCH]],"")</f>
        <v>4.5454545454545456E-2</v>
      </c>
      <c r="E124" s="97">
        <v>0</v>
      </c>
      <c r="F124" s="97">
        <v>0</v>
      </c>
      <c r="G124" s="97">
        <v>0</v>
      </c>
      <c r="H124" s="97">
        <v>22</v>
      </c>
      <c r="I124" s="100">
        <f t="shared" si="7"/>
        <v>0</v>
      </c>
      <c r="J124" s="97">
        <f>Table1[[#This Row],[ÅR]]</f>
        <v>2023</v>
      </c>
      <c r="K124" s="97">
        <v>2008</v>
      </c>
      <c r="L124" s="97">
        <f>Table1[[#This Row],[SENASTE]]-Table1[[#This Row],[FÖDD]]</f>
        <v>15</v>
      </c>
      <c r="M124" s="97">
        <v>2</v>
      </c>
      <c r="N124" s="97">
        <f>SUMIF(B:B,Table1[[#This Row],[Namn]],C:C)</f>
        <v>5</v>
      </c>
      <c r="O124" s="97">
        <f>COUNTIF(B:B,Table1[[#This Row],[Namn]])</f>
        <v>2</v>
      </c>
      <c r="P124" s="97">
        <f>SUMIF(B:B,Table1[[#This Row],[Namn]],G:G)</f>
        <v>0</v>
      </c>
      <c r="Q124" s="97">
        <f>SUMIF(B:B,Table1[[#This Row],[Namn]],E:E)</f>
        <v>0</v>
      </c>
      <c r="R124" s="97">
        <f>SUMIF(B:B,Table1[[#This Row],[Namn]],F:F)</f>
        <v>0</v>
      </c>
      <c r="X124" s="98"/>
    </row>
    <row r="125" spans="1:34" x14ac:dyDescent="0.25">
      <c r="A125" s="97">
        <v>2023</v>
      </c>
      <c r="B125" s="98" t="s">
        <v>33</v>
      </c>
      <c r="C125" s="97">
        <v>1</v>
      </c>
      <c r="D125" s="99">
        <f>IFERROR(Table1[[#This Row],[MAT]]/Table1[[#This Row],[LAG MATCH]],"")</f>
        <v>4.5454545454545456E-2</v>
      </c>
      <c r="E125" s="97">
        <v>0</v>
      </c>
      <c r="F125" s="97">
        <v>0</v>
      </c>
      <c r="G125" s="97">
        <v>0</v>
      </c>
      <c r="H125" s="97">
        <v>22</v>
      </c>
      <c r="I125" s="100">
        <f t="shared" si="7"/>
        <v>0</v>
      </c>
      <c r="J125" s="97">
        <f>Table1[[#This Row],[ÅR]]</f>
        <v>2023</v>
      </c>
      <c r="K125" s="97">
        <v>1999</v>
      </c>
      <c r="L125" s="97">
        <f>Table1[[#This Row],[SENASTE]]-Table1[[#This Row],[FÖDD]]</f>
        <v>24</v>
      </c>
      <c r="M125" s="97">
        <v>2</v>
      </c>
      <c r="N125" s="97">
        <f>SUMIF(B:B,Table1[[#This Row],[Namn]],C:C)</f>
        <v>36</v>
      </c>
      <c r="O125" s="97">
        <f>COUNTIF(B:B,Table1[[#This Row],[Namn]])</f>
        <v>5</v>
      </c>
      <c r="P125" s="97">
        <f>SUMIF(B:B,Table1[[#This Row],[Namn]],G:G)</f>
        <v>0</v>
      </c>
      <c r="Q125" s="97">
        <f>SUMIF(B:B,Table1[[#This Row],[Namn]],E:E)</f>
        <v>1</v>
      </c>
      <c r="R125" s="97">
        <f>SUMIF(B:B,Table1[[#This Row],[Namn]],F:F)</f>
        <v>0</v>
      </c>
      <c r="X125" s="98"/>
    </row>
    <row r="126" spans="1:34" x14ac:dyDescent="0.25">
      <c r="A126" s="97">
        <v>2022</v>
      </c>
      <c r="B126" s="98" t="s">
        <v>56</v>
      </c>
      <c r="C126" s="97">
        <v>29</v>
      </c>
      <c r="D126" s="99">
        <f>IFERROR(Table1[[#This Row],[MAT]]/Table1[[#This Row],[LAG MATCH]],"")</f>
        <v>1</v>
      </c>
      <c r="E126" s="97">
        <v>1</v>
      </c>
      <c r="F126" s="97">
        <v>0</v>
      </c>
      <c r="G126" s="97">
        <v>5</v>
      </c>
      <c r="H126" s="97">
        <v>29</v>
      </c>
      <c r="I126" s="100">
        <f t="shared" si="7"/>
        <v>0.17241379310344829</v>
      </c>
      <c r="J126" s="97">
        <f>Table1[[#This Row],[ÅR]]</f>
        <v>2022</v>
      </c>
      <c r="K126" s="97">
        <v>2002</v>
      </c>
      <c r="L126" s="97">
        <f>Table1[[#This Row],[ÅR]]-Table1[[#This Row],[FÖDD]]</f>
        <v>20</v>
      </c>
      <c r="M126" s="97">
        <v>2</v>
      </c>
      <c r="N126" s="97">
        <f>SUMIF(B:B,Table1[[#This Row],[Namn]],C:C)</f>
        <v>151</v>
      </c>
      <c r="O126" s="97">
        <f>COUNTIF(B:B,Table1[[#This Row],[Namn]])</f>
        <v>8</v>
      </c>
      <c r="P126" s="97">
        <f>SUMIF(B:B,Table1[[#This Row],[Namn]],G:G)</f>
        <v>29</v>
      </c>
      <c r="Q126" s="97">
        <f>SUMIF(B:B,Table1[[#This Row],[Namn]],E:E)</f>
        <v>9</v>
      </c>
      <c r="R126" s="97">
        <f>SUMIF(B:B,Table1[[#This Row],[Namn]],F:F)</f>
        <v>0</v>
      </c>
      <c r="X126" s="98"/>
    </row>
    <row r="127" spans="1:34" x14ac:dyDescent="0.25">
      <c r="A127" s="97">
        <v>2022</v>
      </c>
      <c r="B127" s="98" t="s">
        <v>74</v>
      </c>
      <c r="C127" s="97">
        <v>29</v>
      </c>
      <c r="D127" s="99">
        <f>IFERROR(Table1[[#This Row],[MAT]]/Table1[[#This Row],[LAG MATCH]],"")</f>
        <v>1</v>
      </c>
      <c r="E127" s="97">
        <v>0</v>
      </c>
      <c r="F127" s="97">
        <v>0</v>
      </c>
      <c r="G127" s="97">
        <v>1</v>
      </c>
      <c r="H127" s="97">
        <v>29</v>
      </c>
      <c r="I127" s="100">
        <f t="shared" si="7"/>
        <v>3.4482758620689655E-2</v>
      </c>
      <c r="J127" s="97">
        <f>Table1[[#This Row],[ÅR]]</f>
        <v>2022</v>
      </c>
      <c r="K127" s="97">
        <v>1996</v>
      </c>
      <c r="L127" s="97">
        <f>Table1[[#This Row],[ÅR]]-Table1[[#This Row],[FÖDD]]</f>
        <v>26</v>
      </c>
      <c r="M127" s="97">
        <v>2</v>
      </c>
      <c r="N127" s="97">
        <f>SUMIF(B:B,Table1[[#This Row],[Namn]],C:C)</f>
        <v>200</v>
      </c>
      <c r="O127" s="97">
        <f>COUNTIF(B:B,Table1[[#This Row],[Namn]])</f>
        <v>12</v>
      </c>
      <c r="P127" s="97">
        <f>SUMIF(B:B,Table1[[#This Row],[Namn]],G:G)</f>
        <v>9</v>
      </c>
      <c r="Q127" s="97">
        <f>SUMIF(B:B,Table1[[#This Row],[Namn]],E:E)</f>
        <v>1</v>
      </c>
      <c r="R127" s="97">
        <f>SUMIF(B:B,Table1[[#This Row],[Namn]],F:F)</f>
        <v>0</v>
      </c>
      <c r="X127" s="98"/>
    </row>
    <row r="128" spans="1:34" x14ac:dyDescent="0.25">
      <c r="A128" s="97">
        <v>2022</v>
      </c>
      <c r="B128" s="98" t="s">
        <v>34</v>
      </c>
      <c r="C128" s="97">
        <v>28</v>
      </c>
      <c r="D128" s="99">
        <f>IFERROR(Table1[[#This Row],[MAT]]/Table1[[#This Row],[LAG MATCH]],"")</f>
        <v>0.96551724137931039</v>
      </c>
      <c r="E128" s="97">
        <v>0</v>
      </c>
      <c r="F128" s="97">
        <v>0</v>
      </c>
      <c r="G128" s="97">
        <v>25</v>
      </c>
      <c r="H128" s="97">
        <v>29</v>
      </c>
      <c r="I128" s="100">
        <f t="shared" si="7"/>
        <v>0.8928571428571429</v>
      </c>
      <c r="J128" s="97">
        <f>Table1[[#This Row],[ÅR]]</f>
        <v>2022</v>
      </c>
      <c r="K128" s="97">
        <v>1991</v>
      </c>
      <c r="L128" s="97">
        <f>Table1[[#This Row],[ÅR]]-Table1[[#This Row],[FÖDD]]</f>
        <v>31</v>
      </c>
      <c r="M128" s="97">
        <v>2</v>
      </c>
      <c r="N128" s="97">
        <f>SUMIF(B:B,Table1[[#This Row],[Namn]],C:C)</f>
        <v>138</v>
      </c>
      <c r="O128" s="97">
        <f>COUNTIF(B:B,Table1[[#This Row],[Namn]])</f>
        <v>9</v>
      </c>
      <c r="P128" s="97">
        <f>SUMIF(B:B,Table1[[#This Row],[Namn]],G:G)</f>
        <v>103</v>
      </c>
      <c r="Q128" s="97">
        <f>SUMIF(B:B,Table1[[#This Row],[Namn]],E:E)</f>
        <v>4</v>
      </c>
      <c r="R128" s="97">
        <f>SUMIF(B:B,Table1[[#This Row],[Namn]],F:F)</f>
        <v>0</v>
      </c>
    </row>
    <row r="129" spans="1:18" x14ac:dyDescent="0.25">
      <c r="A129" s="97">
        <v>2022</v>
      </c>
      <c r="B129" s="98" t="s">
        <v>70</v>
      </c>
      <c r="C129" s="97">
        <v>28</v>
      </c>
      <c r="D129" s="99">
        <f>IFERROR(Table1[[#This Row],[MAT]]/Table1[[#This Row],[LAG MATCH]],"")</f>
        <v>0.96551724137931039</v>
      </c>
      <c r="E129" s="97">
        <v>0</v>
      </c>
      <c r="F129" s="97">
        <v>0</v>
      </c>
      <c r="G129" s="97">
        <v>22</v>
      </c>
      <c r="H129" s="97">
        <v>29</v>
      </c>
      <c r="I129" s="100">
        <f t="shared" si="7"/>
        <v>0.7857142857142857</v>
      </c>
      <c r="J129" s="97">
        <f>Table1[[#This Row],[ÅR]]</f>
        <v>2022</v>
      </c>
      <c r="K129" s="97">
        <v>1997</v>
      </c>
      <c r="L129" s="97">
        <f>Table1[[#This Row],[ÅR]]-Table1[[#This Row],[FÖDD]]</f>
        <v>25</v>
      </c>
      <c r="M129" s="97">
        <v>2</v>
      </c>
      <c r="N129" s="97">
        <f>SUMIF(B:B,Table1[[#This Row],[Namn]],C:C)</f>
        <v>70</v>
      </c>
      <c r="O129" s="97">
        <f>COUNTIF(B:B,Table1[[#This Row],[Namn]])</f>
        <v>4</v>
      </c>
      <c r="P129" s="97">
        <f>SUMIF(B:B,Table1[[#This Row],[Namn]],G:G)</f>
        <v>38</v>
      </c>
      <c r="Q129" s="97">
        <f>SUMIF(B:B,Table1[[#This Row],[Namn]],E:E)</f>
        <v>2</v>
      </c>
      <c r="R129" s="97">
        <f>SUMIF(B:B,Table1[[#This Row],[Namn]],F:F)</f>
        <v>0</v>
      </c>
    </row>
    <row r="130" spans="1:18" x14ac:dyDescent="0.25">
      <c r="A130" s="97">
        <v>2022</v>
      </c>
      <c r="B130" s="98" t="s">
        <v>71</v>
      </c>
      <c r="C130" s="97">
        <v>28</v>
      </c>
      <c r="D130" s="99">
        <f>IFERROR(Table1[[#This Row],[MAT]]/Table1[[#This Row],[LAG MATCH]],"")</f>
        <v>0.96551724137931039</v>
      </c>
      <c r="E130" s="97">
        <v>0</v>
      </c>
      <c r="F130" s="97">
        <v>0</v>
      </c>
      <c r="G130" s="97">
        <v>0</v>
      </c>
      <c r="H130" s="97">
        <v>29</v>
      </c>
      <c r="I130" s="100">
        <f t="shared" si="7"/>
        <v>0</v>
      </c>
      <c r="J130" s="97">
        <f>Table1[[#This Row],[ÅR]]</f>
        <v>2022</v>
      </c>
      <c r="K130" s="97">
        <v>2004</v>
      </c>
      <c r="L130" s="97">
        <f>Table1[[#This Row],[ÅR]]-Table1[[#This Row],[FÖDD]]</f>
        <v>18</v>
      </c>
      <c r="M130" s="97">
        <v>2</v>
      </c>
      <c r="N130" s="97">
        <f>SUMIF(B:B,Table1[[#This Row],[Namn]],C:C)</f>
        <v>71</v>
      </c>
      <c r="O130" s="97">
        <f>COUNTIF(B:B,Table1[[#This Row],[Namn]])</f>
        <v>5</v>
      </c>
      <c r="P130" s="97">
        <f>SUMIF(B:B,Table1[[#This Row],[Namn]],G:G)</f>
        <v>0</v>
      </c>
      <c r="Q130" s="97">
        <f>SUMIF(B:B,Table1[[#This Row],[Namn]],E:E)</f>
        <v>0</v>
      </c>
      <c r="R130" s="97">
        <f>SUMIF(B:B,Table1[[#This Row],[Namn]],F:F)</f>
        <v>0</v>
      </c>
    </row>
    <row r="131" spans="1:18" x14ac:dyDescent="0.25">
      <c r="A131" s="97">
        <v>2022</v>
      </c>
      <c r="B131" s="98" t="s">
        <v>59</v>
      </c>
      <c r="C131" s="97">
        <v>28</v>
      </c>
      <c r="D131" s="99">
        <f>IFERROR(Table1[[#This Row],[MAT]]/Table1[[#This Row],[LAG MATCH]],"")</f>
        <v>0.96551724137931039</v>
      </c>
      <c r="E131" s="97">
        <v>0</v>
      </c>
      <c r="F131" s="97">
        <v>0</v>
      </c>
      <c r="G131" s="97">
        <v>0</v>
      </c>
      <c r="H131" s="97">
        <v>29</v>
      </c>
      <c r="I131" s="100">
        <f t="shared" si="7"/>
        <v>0</v>
      </c>
      <c r="J131" s="97">
        <f>Table1[[#This Row],[ÅR]]</f>
        <v>2022</v>
      </c>
      <c r="K131" s="97">
        <v>1989</v>
      </c>
      <c r="L131" s="97">
        <f>Table1[[#This Row],[ÅR]]-Table1[[#This Row],[FÖDD]]</f>
        <v>33</v>
      </c>
      <c r="M131" s="97">
        <v>2</v>
      </c>
      <c r="N131" s="97">
        <f>SUMIF(B:B,Table1[[#This Row],[Namn]],C:C)</f>
        <v>119</v>
      </c>
      <c r="O131" s="97">
        <f>COUNTIF(B:B,Table1[[#This Row],[Namn]])</f>
        <v>6</v>
      </c>
      <c r="P131" s="97">
        <f>SUMIF(B:B,Table1[[#This Row],[Namn]],G:G)</f>
        <v>6</v>
      </c>
      <c r="Q131" s="97">
        <f>SUMIF(B:B,Table1[[#This Row],[Namn]],E:E)</f>
        <v>3</v>
      </c>
      <c r="R131" s="97">
        <f>SUMIF(B:B,Table1[[#This Row],[Namn]],F:F)</f>
        <v>1</v>
      </c>
    </row>
    <row r="132" spans="1:18" x14ac:dyDescent="0.25">
      <c r="A132" s="97">
        <v>2022</v>
      </c>
      <c r="B132" s="98" t="s">
        <v>80</v>
      </c>
      <c r="C132" s="97">
        <v>27</v>
      </c>
      <c r="D132" s="99">
        <f>IFERROR(Table1[[#This Row],[MAT]]/Table1[[#This Row],[LAG MATCH]],"")</f>
        <v>0.93103448275862066</v>
      </c>
      <c r="E132" s="97">
        <v>0</v>
      </c>
      <c r="F132" s="97">
        <v>0</v>
      </c>
      <c r="G132" s="97">
        <v>2</v>
      </c>
      <c r="H132" s="97">
        <v>29</v>
      </c>
      <c r="I132" s="100">
        <f t="shared" si="7"/>
        <v>7.407407407407407E-2</v>
      </c>
      <c r="J132" s="97">
        <f>Table1[[#This Row],[ÅR]]</f>
        <v>2022</v>
      </c>
      <c r="K132" s="97">
        <v>2004</v>
      </c>
      <c r="L132" s="97">
        <f>Table1[[#This Row],[ÅR]]-Table1[[#This Row],[FÖDD]]</f>
        <v>18</v>
      </c>
      <c r="M132" s="97">
        <v>2</v>
      </c>
      <c r="N132" s="97">
        <f>SUMIF(B:B,Table1[[#This Row],[Namn]],C:C)</f>
        <v>50</v>
      </c>
      <c r="O132" s="97">
        <f>COUNTIF(B:B,Table1[[#This Row],[Namn]])</f>
        <v>5</v>
      </c>
      <c r="P132" s="97">
        <f>SUMIF(B:B,Table1[[#This Row],[Namn]],G:G)</f>
        <v>6</v>
      </c>
      <c r="Q132" s="97">
        <f>SUMIF(B:B,Table1[[#This Row],[Namn]],E:E)</f>
        <v>0</v>
      </c>
      <c r="R132" s="97">
        <f>SUMIF(B:B,Table1[[#This Row],[Namn]],F:F)</f>
        <v>0</v>
      </c>
    </row>
    <row r="133" spans="1:18" x14ac:dyDescent="0.25">
      <c r="A133" s="97">
        <v>2022</v>
      </c>
      <c r="B133" s="98" t="s">
        <v>81</v>
      </c>
      <c r="C133" s="97">
        <v>27</v>
      </c>
      <c r="D133" s="99">
        <f>IFERROR(Table1[[#This Row],[MAT]]/Table1[[#This Row],[LAG MATCH]],"")</f>
        <v>0.93103448275862066</v>
      </c>
      <c r="E133" s="97">
        <v>2</v>
      </c>
      <c r="F133" s="97">
        <v>0</v>
      </c>
      <c r="G133" s="97">
        <v>1</v>
      </c>
      <c r="H133" s="97">
        <v>29</v>
      </c>
      <c r="I133" s="100">
        <f t="shared" si="7"/>
        <v>3.7037037037037035E-2</v>
      </c>
      <c r="J133" s="97">
        <f>Table1[[#This Row],[ÅR]]</f>
        <v>2022</v>
      </c>
      <c r="K133" s="97">
        <v>2004</v>
      </c>
      <c r="L133" s="97">
        <f>Table1[[#This Row],[ÅR]]-Table1[[#This Row],[FÖDD]]</f>
        <v>18</v>
      </c>
      <c r="M133" s="97">
        <v>2</v>
      </c>
      <c r="N133" s="97">
        <f>SUMIF(B:B,Table1[[#This Row],[Namn]],C:C)</f>
        <v>30</v>
      </c>
      <c r="O133" s="97">
        <f>COUNTIF(B:B,Table1[[#This Row],[Namn]])</f>
        <v>2</v>
      </c>
      <c r="P133" s="97">
        <f>SUMIF(B:B,Table1[[#This Row],[Namn]],G:G)</f>
        <v>1</v>
      </c>
      <c r="Q133" s="97">
        <f>SUMIF(B:B,Table1[[#This Row],[Namn]],E:E)</f>
        <v>2</v>
      </c>
      <c r="R133" s="97">
        <f>SUMIF(B:B,Table1[[#This Row],[Namn]],F:F)</f>
        <v>0</v>
      </c>
    </row>
    <row r="134" spans="1:18" x14ac:dyDescent="0.25">
      <c r="A134" s="97">
        <v>2022</v>
      </c>
      <c r="B134" s="98" t="s">
        <v>82</v>
      </c>
      <c r="C134" s="97">
        <v>26</v>
      </c>
      <c r="D134" s="99">
        <f>IFERROR(Table1[[#This Row],[MAT]]/Table1[[#This Row],[LAG MATCH]],"")</f>
        <v>0.89655172413793105</v>
      </c>
      <c r="E134" s="97">
        <v>1</v>
      </c>
      <c r="F134" s="97">
        <v>0</v>
      </c>
      <c r="G134" s="97">
        <v>4</v>
      </c>
      <c r="H134" s="97">
        <v>29</v>
      </c>
      <c r="I134" s="100">
        <f t="shared" si="7"/>
        <v>0.15384615384615385</v>
      </c>
      <c r="J134" s="97">
        <f>Table1[[#This Row],[ÅR]]</f>
        <v>2022</v>
      </c>
      <c r="K134" s="97">
        <v>1995</v>
      </c>
      <c r="L134" s="97">
        <f>Table1[[#This Row],[ÅR]]-Table1[[#This Row],[FÖDD]]</f>
        <v>27</v>
      </c>
      <c r="M134" s="97">
        <v>2</v>
      </c>
      <c r="N134" s="97">
        <f>SUMIF(B:B,Table1[[#This Row],[Namn]],C:C)</f>
        <v>89</v>
      </c>
      <c r="O134" s="97">
        <f>COUNTIF(B:B,Table1[[#This Row],[Namn]])</f>
        <v>5</v>
      </c>
      <c r="P134" s="97">
        <f>SUMIF(B:B,Table1[[#This Row],[Namn]],G:G)</f>
        <v>9</v>
      </c>
      <c r="Q134" s="97">
        <f>SUMIF(B:B,Table1[[#This Row],[Namn]],E:E)</f>
        <v>4</v>
      </c>
      <c r="R134" s="97">
        <f>SUMIF(B:B,Table1[[#This Row],[Namn]],F:F)</f>
        <v>0</v>
      </c>
    </row>
    <row r="135" spans="1:18" x14ac:dyDescent="0.25">
      <c r="A135" s="97">
        <v>2022</v>
      </c>
      <c r="B135" s="98" t="s">
        <v>83</v>
      </c>
      <c r="C135" s="97">
        <v>25</v>
      </c>
      <c r="D135" s="99">
        <f>IFERROR(Table1[[#This Row],[MAT]]/Table1[[#This Row],[LAG MATCH]],"")</f>
        <v>0.86206896551724133</v>
      </c>
      <c r="E135" s="97">
        <v>0</v>
      </c>
      <c r="F135" s="97">
        <v>0</v>
      </c>
      <c r="G135" s="97">
        <v>34</v>
      </c>
      <c r="H135" s="97">
        <v>29</v>
      </c>
      <c r="I135" s="100">
        <f t="shared" si="7"/>
        <v>1.36</v>
      </c>
      <c r="J135" s="97">
        <f>Table1[[#This Row],[ÅR]]</f>
        <v>2022</v>
      </c>
      <c r="K135" s="97">
        <v>1985</v>
      </c>
      <c r="L135" s="97">
        <f>Table1[[#This Row],[ÅR]]-Table1[[#This Row],[FÖDD]]</f>
        <v>37</v>
      </c>
      <c r="M135" s="97">
        <v>2</v>
      </c>
      <c r="N135" s="97">
        <f>SUMIF(B:B,Table1[[#This Row],[Namn]],C:C)</f>
        <v>56</v>
      </c>
      <c r="O135" s="97">
        <f>COUNTIF(B:B,Table1[[#This Row],[Namn]])</f>
        <v>3</v>
      </c>
      <c r="P135" s="97">
        <f>SUMIF(B:B,Table1[[#This Row],[Namn]],G:G)</f>
        <v>82</v>
      </c>
      <c r="Q135" s="97">
        <f>SUMIF(B:B,Table1[[#This Row],[Namn]],E:E)</f>
        <v>1</v>
      </c>
      <c r="R135" s="97">
        <f>SUMIF(B:B,Table1[[#This Row],[Namn]],F:F)</f>
        <v>0</v>
      </c>
    </row>
    <row r="136" spans="1:18" x14ac:dyDescent="0.25">
      <c r="A136" s="97">
        <v>2022</v>
      </c>
      <c r="B136" s="98" t="s">
        <v>50</v>
      </c>
      <c r="C136" s="97">
        <v>25</v>
      </c>
      <c r="D136" s="99">
        <f>IFERROR(Table1[[#This Row],[MAT]]/Table1[[#This Row],[LAG MATCH]],"")</f>
        <v>0.86206896551724133</v>
      </c>
      <c r="E136" s="97">
        <v>1</v>
      </c>
      <c r="F136" s="97">
        <v>0</v>
      </c>
      <c r="G136" s="97">
        <v>0</v>
      </c>
      <c r="H136" s="97">
        <v>29</v>
      </c>
      <c r="I136" s="100">
        <f t="shared" si="7"/>
        <v>0</v>
      </c>
      <c r="J136" s="97">
        <f>Table1[[#This Row],[ÅR]]</f>
        <v>2022</v>
      </c>
      <c r="K136" s="97">
        <v>1993</v>
      </c>
      <c r="L136" s="97">
        <f>Table1[[#This Row],[ÅR]]-Table1[[#This Row],[FÖDD]]</f>
        <v>29</v>
      </c>
      <c r="M136" s="97">
        <v>2</v>
      </c>
      <c r="N136" s="97">
        <f>SUMIF(B:B,Table1[[#This Row],[Namn]],C:C)</f>
        <v>92</v>
      </c>
      <c r="O136" s="97">
        <f>COUNTIF(B:B,Table1[[#This Row],[Namn]])</f>
        <v>7</v>
      </c>
      <c r="P136" s="97">
        <f>SUMIF(B:B,Table1[[#This Row],[Namn]],G:G)</f>
        <v>5</v>
      </c>
      <c r="Q136" s="97">
        <f>SUMIF(B:B,Table1[[#This Row],[Namn]],E:E)</f>
        <v>4</v>
      </c>
      <c r="R136" s="97">
        <f>SUMIF(B:B,Table1[[#This Row],[Namn]],F:F)</f>
        <v>0</v>
      </c>
    </row>
    <row r="137" spans="1:18" x14ac:dyDescent="0.25">
      <c r="A137" s="97">
        <v>2022</v>
      </c>
      <c r="B137" s="98" t="s">
        <v>69</v>
      </c>
      <c r="C137" s="97">
        <v>23</v>
      </c>
      <c r="D137" s="99">
        <f>IFERROR(Table1[[#This Row],[MAT]]/Table1[[#This Row],[LAG MATCH]],"")</f>
        <v>0.7931034482758621</v>
      </c>
      <c r="E137" s="97">
        <v>0</v>
      </c>
      <c r="F137" s="97">
        <v>0</v>
      </c>
      <c r="G137" s="97">
        <v>1</v>
      </c>
      <c r="H137" s="97">
        <v>29</v>
      </c>
      <c r="I137" s="100">
        <f t="shared" si="7"/>
        <v>4.3478260869565216E-2</v>
      </c>
      <c r="J137" s="97">
        <f>Table1[[#This Row],[ÅR]]</f>
        <v>2022</v>
      </c>
      <c r="K137" s="97">
        <v>1996</v>
      </c>
      <c r="L137" s="97">
        <f>Table1[[#This Row],[ÅR]]-Table1[[#This Row],[FÖDD]]</f>
        <v>26</v>
      </c>
      <c r="M137" s="97">
        <v>2</v>
      </c>
      <c r="N137" s="97">
        <f>SUMIF(B:B,Table1[[#This Row],[Namn]],C:C)</f>
        <v>105</v>
      </c>
      <c r="O137" s="97">
        <f>COUNTIF(B:B,Table1[[#This Row],[Namn]])</f>
        <v>6</v>
      </c>
      <c r="P137" s="97">
        <f>SUMIF(B:B,Table1[[#This Row],[Namn]],G:G)</f>
        <v>11</v>
      </c>
      <c r="Q137" s="97">
        <f>SUMIF(B:B,Table1[[#This Row],[Namn]],E:E)</f>
        <v>1</v>
      </c>
      <c r="R137" s="97">
        <f>SUMIF(B:B,Table1[[#This Row],[Namn]],F:F)</f>
        <v>0</v>
      </c>
    </row>
    <row r="138" spans="1:18" x14ac:dyDescent="0.25">
      <c r="A138" s="97">
        <v>2022</v>
      </c>
      <c r="B138" s="98" t="s">
        <v>84</v>
      </c>
      <c r="C138" s="97">
        <v>23</v>
      </c>
      <c r="D138" s="99">
        <f>IFERROR(Table1[[#This Row],[MAT]]/Table1[[#This Row],[LAG MATCH]],"")</f>
        <v>0.7931034482758621</v>
      </c>
      <c r="E138" s="97">
        <v>0</v>
      </c>
      <c r="F138" s="97">
        <v>0</v>
      </c>
      <c r="G138" s="97">
        <v>0</v>
      </c>
      <c r="H138" s="97">
        <v>29</v>
      </c>
      <c r="I138" s="100">
        <f t="shared" si="7"/>
        <v>0</v>
      </c>
      <c r="J138" s="97">
        <f>Table1[[#This Row],[ÅR]]</f>
        <v>2022</v>
      </c>
      <c r="K138" s="97">
        <v>1997</v>
      </c>
      <c r="L138" s="97">
        <f>Table1[[#This Row],[ÅR]]-Table1[[#This Row],[FÖDD]]</f>
        <v>25</v>
      </c>
      <c r="M138" s="97">
        <v>2</v>
      </c>
      <c r="N138" s="97">
        <f>SUMIF(B:B,Table1[[#This Row],[Namn]],C:C)</f>
        <v>74</v>
      </c>
      <c r="O138" s="97">
        <f>COUNTIF(B:B,Table1[[#This Row],[Namn]])</f>
        <v>5</v>
      </c>
      <c r="P138" s="97">
        <f>SUMIF(B:B,Table1[[#This Row],[Namn]],G:G)</f>
        <v>1</v>
      </c>
      <c r="Q138" s="97">
        <f>SUMIF(B:B,Table1[[#This Row],[Namn]],E:E)</f>
        <v>1</v>
      </c>
      <c r="R138" s="97">
        <f>SUMIF(B:B,Table1[[#This Row],[Namn]],F:F)</f>
        <v>0</v>
      </c>
    </row>
    <row r="139" spans="1:18" x14ac:dyDescent="0.25">
      <c r="A139" s="97">
        <v>2022</v>
      </c>
      <c r="B139" s="98" t="s">
        <v>79</v>
      </c>
      <c r="C139" s="97">
        <v>22</v>
      </c>
      <c r="D139" s="99">
        <f>IFERROR(Table1[[#This Row],[MAT]]/Table1[[#This Row],[LAG MATCH]],"")</f>
        <v>0.75862068965517238</v>
      </c>
      <c r="E139" s="97">
        <v>0</v>
      </c>
      <c r="F139" s="97">
        <v>0</v>
      </c>
      <c r="G139" s="97">
        <v>1</v>
      </c>
      <c r="H139" s="97">
        <v>29</v>
      </c>
      <c r="I139" s="100">
        <f t="shared" si="7"/>
        <v>4.5454545454545456E-2</v>
      </c>
      <c r="J139" s="97">
        <f>Table1[[#This Row],[ÅR]]</f>
        <v>2022</v>
      </c>
      <c r="K139" s="97">
        <v>2004</v>
      </c>
      <c r="L139" s="97">
        <f>Table1[[#This Row],[ÅR]]-Table1[[#This Row],[FÖDD]]</f>
        <v>18</v>
      </c>
      <c r="M139" s="97">
        <v>2</v>
      </c>
      <c r="N139" s="97">
        <f>SUMIF(B:B,Table1[[#This Row],[Namn]],C:C)</f>
        <v>35</v>
      </c>
      <c r="O139" s="97">
        <f>COUNTIF(B:B,Table1[[#This Row],[Namn]])</f>
        <v>4</v>
      </c>
      <c r="P139" s="97">
        <f>SUMIF(B:B,Table1[[#This Row],[Namn]],G:G)</f>
        <v>1</v>
      </c>
      <c r="Q139" s="97">
        <f>SUMIF(B:B,Table1[[#This Row],[Namn]],E:E)</f>
        <v>0</v>
      </c>
      <c r="R139" s="97">
        <f>SUMIF(B:B,Table1[[#This Row],[Namn]],F:F)</f>
        <v>0</v>
      </c>
    </row>
    <row r="140" spans="1:18" x14ac:dyDescent="0.25">
      <c r="A140" s="97">
        <v>2022</v>
      </c>
      <c r="B140" s="98" t="s">
        <v>36</v>
      </c>
      <c r="C140" s="97">
        <v>19</v>
      </c>
      <c r="D140" s="99">
        <f>IFERROR(Table1[[#This Row],[MAT]]/Table1[[#This Row],[LAG MATCH]],"")</f>
        <v>0.65517241379310343</v>
      </c>
      <c r="E140" s="97">
        <v>2</v>
      </c>
      <c r="F140" s="97">
        <v>0</v>
      </c>
      <c r="G140" s="97">
        <v>6</v>
      </c>
      <c r="H140" s="97">
        <v>29</v>
      </c>
      <c r="I140" s="100">
        <f t="shared" si="7"/>
        <v>0.31578947368421051</v>
      </c>
      <c r="J140" s="97">
        <f>Table1[[#This Row],[ÅR]]</f>
        <v>2022</v>
      </c>
      <c r="K140" s="97">
        <v>2002</v>
      </c>
      <c r="L140" s="97">
        <f>Table1[[#This Row],[ÅR]]-Table1[[#This Row],[FÖDD]]</f>
        <v>20</v>
      </c>
      <c r="M140" s="97">
        <v>2</v>
      </c>
      <c r="N140" s="97">
        <f>SUMIF(B:B,Table1[[#This Row],[Namn]],C:C)</f>
        <v>63</v>
      </c>
      <c r="O140" s="97">
        <f>COUNTIF(B:B,Table1[[#This Row],[Namn]])</f>
        <v>5</v>
      </c>
      <c r="P140" s="97">
        <f>SUMIF(B:B,Table1[[#This Row],[Namn]],G:G)</f>
        <v>24</v>
      </c>
      <c r="Q140" s="97">
        <f>SUMIF(B:B,Table1[[#This Row],[Namn]],E:E)</f>
        <v>3</v>
      </c>
      <c r="R140" s="97">
        <f>SUMIF(B:B,Table1[[#This Row],[Namn]],F:F)</f>
        <v>0</v>
      </c>
    </row>
    <row r="141" spans="1:18" x14ac:dyDescent="0.25">
      <c r="A141" s="97">
        <v>2022</v>
      </c>
      <c r="B141" s="98" t="s">
        <v>76</v>
      </c>
      <c r="C141" s="97">
        <v>13</v>
      </c>
      <c r="D141" s="99">
        <f>IFERROR(Table1[[#This Row],[MAT]]/Table1[[#This Row],[LAG MATCH]],"")</f>
        <v>0.44827586206896552</v>
      </c>
      <c r="E141" s="97">
        <v>0</v>
      </c>
      <c r="F141" s="97">
        <v>0</v>
      </c>
      <c r="G141" s="97">
        <v>2</v>
      </c>
      <c r="H141" s="97">
        <v>29</v>
      </c>
      <c r="I141" s="100">
        <f t="shared" si="7"/>
        <v>0.15384615384615385</v>
      </c>
      <c r="J141" s="97">
        <f>Table1[[#This Row],[ÅR]]</f>
        <v>2022</v>
      </c>
      <c r="K141" s="97">
        <v>1991</v>
      </c>
      <c r="L141" s="97">
        <f>Table1[[#This Row],[ÅR]]-Table1[[#This Row],[FÖDD]]</f>
        <v>31</v>
      </c>
      <c r="M141" s="97">
        <v>2</v>
      </c>
      <c r="N141" s="97">
        <f>SUMIF(B:B,Table1[[#This Row],[Namn]],C:C)</f>
        <v>21</v>
      </c>
      <c r="O141" s="97">
        <f>COUNTIF(B:B,Table1[[#This Row],[Namn]])</f>
        <v>2</v>
      </c>
      <c r="P141" s="97">
        <f>SUMIF(B:B,Table1[[#This Row],[Namn]],G:G)</f>
        <v>2</v>
      </c>
      <c r="Q141" s="97">
        <f>SUMIF(B:B,Table1[[#This Row],[Namn]],E:E)</f>
        <v>1</v>
      </c>
      <c r="R141" s="97">
        <f>SUMIF(B:B,Table1[[#This Row],[Namn]],F:F)</f>
        <v>0</v>
      </c>
    </row>
    <row r="142" spans="1:18" x14ac:dyDescent="0.25">
      <c r="A142" s="97">
        <v>2022</v>
      </c>
      <c r="B142" s="98" t="s">
        <v>85</v>
      </c>
      <c r="C142" s="97">
        <v>11</v>
      </c>
      <c r="D142" s="99">
        <f>IFERROR(Table1[[#This Row],[MAT]]/Table1[[#This Row],[LAG MATCH]],"")</f>
        <v>0.37931034482758619</v>
      </c>
      <c r="E142" s="97">
        <v>0</v>
      </c>
      <c r="F142" s="97">
        <v>0</v>
      </c>
      <c r="G142" s="97">
        <v>4</v>
      </c>
      <c r="H142" s="97">
        <v>29</v>
      </c>
      <c r="I142" s="100">
        <f t="shared" si="7"/>
        <v>0.36363636363636365</v>
      </c>
      <c r="J142" s="97">
        <f>Table1[[#This Row],[ÅR]]</f>
        <v>2022</v>
      </c>
      <c r="K142" s="97">
        <v>2000</v>
      </c>
      <c r="L142" s="97">
        <f>Table1[[#This Row],[ÅR]]-Table1[[#This Row],[FÖDD]]</f>
        <v>22</v>
      </c>
      <c r="M142" s="97">
        <v>2</v>
      </c>
      <c r="N142" s="97">
        <f>SUMIF(B:B,Table1[[#This Row],[Namn]],C:C)</f>
        <v>19</v>
      </c>
      <c r="O142" s="97">
        <f>COUNTIF(B:B,Table1[[#This Row],[Namn]])</f>
        <v>2</v>
      </c>
      <c r="P142" s="97">
        <f>SUMIF(B:B,Table1[[#This Row],[Namn]],G:G)</f>
        <v>9</v>
      </c>
      <c r="Q142" s="97">
        <f>SUMIF(B:B,Table1[[#This Row],[Namn]],E:E)</f>
        <v>1</v>
      </c>
      <c r="R142" s="97">
        <f>SUMIF(B:B,Table1[[#This Row],[Namn]],F:F)</f>
        <v>0</v>
      </c>
    </row>
    <row r="143" spans="1:18" x14ac:dyDescent="0.25">
      <c r="A143" s="97">
        <v>2022</v>
      </c>
      <c r="B143" s="98" t="s">
        <v>43</v>
      </c>
      <c r="C143" s="97">
        <v>8</v>
      </c>
      <c r="D143" s="99">
        <f>IFERROR(Table1[[#This Row],[MAT]]/Table1[[#This Row],[LAG MATCH]],"")</f>
        <v>0.27586206896551724</v>
      </c>
      <c r="E143" s="97">
        <v>0</v>
      </c>
      <c r="F143" s="97">
        <v>0</v>
      </c>
      <c r="G143" s="97">
        <v>1</v>
      </c>
      <c r="H143" s="97">
        <v>29</v>
      </c>
      <c r="I143" s="100">
        <f t="shared" si="7"/>
        <v>0.125</v>
      </c>
      <c r="J143" s="97">
        <f>Table1[[#This Row],[ÅR]]</f>
        <v>2022</v>
      </c>
      <c r="K143" s="97">
        <v>2002</v>
      </c>
      <c r="L143" s="97">
        <f>Table1[[#This Row],[ÅR]]-Table1[[#This Row],[FÖDD]]</f>
        <v>20</v>
      </c>
      <c r="M143" s="97">
        <v>2</v>
      </c>
      <c r="N143" s="97">
        <f>SUMIF(B:B,Table1[[#This Row],[Namn]],C:C)</f>
        <v>53</v>
      </c>
      <c r="O143" s="97">
        <f>COUNTIF(B:B,Table1[[#This Row],[Namn]])</f>
        <v>5</v>
      </c>
      <c r="P143" s="97">
        <f>SUMIF(B:B,Table1[[#This Row],[Namn]],G:G)</f>
        <v>25</v>
      </c>
      <c r="Q143" s="97">
        <f>SUMIF(B:B,Table1[[#This Row],[Namn]],E:E)</f>
        <v>3</v>
      </c>
      <c r="R143" s="97">
        <f>SUMIF(B:B,Table1[[#This Row],[Namn]],F:F)</f>
        <v>0</v>
      </c>
    </row>
    <row r="144" spans="1:18" x14ac:dyDescent="0.25">
      <c r="A144" s="97">
        <v>2022</v>
      </c>
      <c r="B144" s="98" t="s">
        <v>86</v>
      </c>
      <c r="C144" s="97">
        <v>8</v>
      </c>
      <c r="D144" s="99">
        <f>IFERROR(Table1[[#This Row],[MAT]]/Table1[[#This Row],[LAG MATCH]],"")</f>
        <v>0.27586206896551724</v>
      </c>
      <c r="E144" s="97">
        <v>0</v>
      </c>
      <c r="F144" s="97">
        <v>0</v>
      </c>
      <c r="G144" s="97">
        <v>0</v>
      </c>
      <c r="H144" s="97">
        <v>29</v>
      </c>
      <c r="I144" s="100">
        <f t="shared" si="7"/>
        <v>0</v>
      </c>
      <c r="J144" s="97">
        <f>Table1[[#This Row],[ÅR]]</f>
        <v>2022</v>
      </c>
      <c r="K144" s="97">
        <v>2003</v>
      </c>
      <c r="L144" s="97">
        <f>Table1[[#This Row],[ÅR]]-Table1[[#This Row],[FÖDD]]</f>
        <v>19</v>
      </c>
      <c r="M144" s="97">
        <v>2</v>
      </c>
      <c r="N144" s="97">
        <f>SUMIF(B:B,Table1[[#This Row],[Namn]],C:C)</f>
        <v>27</v>
      </c>
      <c r="O144" s="97">
        <f>COUNTIF(B:B,Table1[[#This Row],[Namn]])</f>
        <v>5</v>
      </c>
      <c r="P144" s="97">
        <f>SUMIF(B:B,Table1[[#This Row],[Namn]],G:G)</f>
        <v>1</v>
      </c>
      <c r="Q144" s="97">
        <f>SUMIF(B:B,Table1[[#This Row],[Namn]],E:E)</f>
        <v>0</v>
      </c>
      <c r="R144" s="97">
        <f>SUMIF(B:B,Table1[[#This Row],[Namn]],F:F)</f>
        <v>0</v>
      </c>
    </row>
    <row r="145" spans="1:18" x14ac:dyDescent="0.25">
      <c r="A145" s="97">
        <v>2022</v>
      </c>
      <c r="B145" s="98" t="s">
        <v>64</v>
      </c>
      <c r="C145" s="97">
        <v>5</v>
      </c>
      <c r="D145" s="99">
        <f>IFERROR(Table1[[#This Row],[MAT]]/Table1[[#This Row],[LAG MATCH]],"")</f>
        <v>0.17241379310344829</v>
      </c>
      <c r="E145" s="97">
        <v>0</v>
      </c>
      <c r="F145" s="97">
        <v>0</v>
      </c>
      <c r="G145" s="97">
        <v>1</v>
      </c>
      <c r="H145" s="97">
        <v>29</v>
      </c>
      <c r="I145" s="100">
        <f t="shared" si="7"/>
        <v>0.2</v>
      </c>
      <c r="J145" s="97">
        <f>Table1[[#This Row],[ÅR]]</f>
        <v>2022</v>
      </c>
      <c r="K145" s="97">
        <v>2001</v>
      </c>
      <c r="L145" s="97">
        <f>Table1[[#This Row],[ÅR]]-Table1[[#This Row],[FÖDD]]</f>
        <v>21</v>
      </c>
      <c r="M145" s="97">
        <v>2</v>
      </c>
      <c r="N145" s="97">
        <f>SUMIF(B:B,Table1[[#This Row],[Namn]],C:C)</f>
        <v>48</v>
      </c>
      <c r="O145" s="97">
        <f>COUNTIF(B:B,Table1[[#This Row],[Namn]])</f>
        <v>8</v>
      </c>
      <c r="P145" s="97">
        <f>SUMIF(B:B,Table1[[#This Row],[Namn]],G:G)</f>
        <v>14</v>
      </c>
      <c r="Q145" s="97">
        <f>SUMIF(B:B,Table1[[#This Row],[Namn]],E:E)</f>
        <v>1</v>
      </c>
      <c r="R145" s="97">
        <f>SUMIF(B:B,Table1[[#This Row],[Namn]],F:F)</f>
        <v>0</v>
      </c>
    </row>
    <row r="146" spans="1:18" x14ac:dyDescent="0.25">
      <c r="A146" s="97">
        <v>2022</v>
      </c>
      <c r="B146" s="98" t="s">
        <v>41</v>
      </c>
      <c r="C146" s="97">
        <v>4</v>
      </c>
      <c r="D146" s="99">
        <f>IFERROR(Table1[[#This Row],[MAT]]/Table1[[#This Row],[LAG MATCH]],"")</f>
        <v>0.13793103448275862</v>
      </c>
      <c r="E146" s="97">
        <v>0</v>
      </c>
      <c r="F146" s="97">
        <v>0</v>
      </c>
      <c r="G146" s="97">
        <v>0</v>
      </c>
      <c r="H146" s="97">
        <v>29</v>
      </c>
      <c r="I146" s="100">
        <f t="shared" si="7"/>
        <v>0</v>
      </c>
      <c r="J146" s="97">
        <f>Table1[[#This Row],[ÅR]]</f>
        <v>2022</v>
      </c>
      <c r="K146" s="97">
        <v>2005</v>
      </c>
      <c r="L146" s="97">
        <f>Table1[[#This Row],[ÅR]]-Table1[[#This Row],[FÖDD]]</f>
        <v>17</v>
      </c>
      <c r="M146" s="97">
        <v>2</v>
      </c>
      <c r="N146" s="97">
        <f>SUMIF(B:B,Table1[[#This Row],[Namn]],C:C)</f>
        <v>10</v>
      </c>
      <c r="O146" s="97">
        <f>COUNTIF(B:B,Table1[[#This Row],[Namn]])</f>
        <v>5</v>
      </c>
      <c r="P146" s="97">
        <f>SUMIF(B:B,Table1[[#This Row],[Namn]],G:G)</f>
        <v>0</v>
      </c>
      <c r="Q146" s="97">
        <f>SUMIF(B:B,Table1[[#This Row],[Namn]],E:E)</f>
        <v>0</v>
      </c>
      <c r="R146" s="97">
        <f>SUMIF(B:B,Table1[[#This Row],[Namn]],F:F)</f>
        <v>0</v>
      </c>
    </row>
    <row r="147" spans="1:18" x14ac:dyDescent="0.25">
      <c r="A147" s="97">
        <v>2022</v>
      </c>
      <c r="B147" s="98" t="s">
        <v>87</v>
      </c>
      <c r="C147" s="97">
        <v>3</v>
      </c>
      <c r="D147" s="99">
        <f>IFERROR(Table1[[#This Row],[MAT]]/Table1[[#This Row],[LAG MATCH]],"")</f>
        <v>0.10344827586206896</v>
      </c>
      <c r="E147" s="97">
        <v>0</v>
      </c>
      <c r="F147" s="97">
        <v>0</v>
      </c>
      <c r="G147" s="97">
        <v>0</v>
      </c>
      <c r="H147" s="97">
        <v>29</v>
      </c>
      <c r="I147" s="100">
        <f t="shared" si="7"/>
        <v>0</v>
      </c>
      <c r="J147" s="97">
        <f>Table1[[#This Row],[ÅR]]</f>
        <v>2022</v>
      </c>
      <c r="K147" s="97">
        <v>1991</v>
      </c>
      <c r="L147" s="97">
        <f>Table1[[#This Row],[ÅR]]-Table1[[#This Row],[FÖDD]]</f>
        <v>31</v>
      </c>
      <c r="M147" s="97">
        <v>2</v>
      </c>
      <c r="N147" s="97">
        <f>SUMIF(B:B,Table1[[#This Row],[Namn]],C:C)</f>
        <v>7</v>
      </c>
      <c r="O147" s="97">
        <f>COUNTIF(B:B,Table1[[#This Row],[Namn]])</f>
        <v>3</v>
      </c>
      <c r="P147" s="97">
        <f>SUMIF(B:B,Table1[[#This Row],[Namn]],G:G)</f>
        <v>1</v>
      </c>
      <c r="Q147" s="97">
        <f>SUMIF(B:B,Table1[[#This Row],[Namn]],E:E)</f>
        <v>0</v>
      </c>
      <c r="R147" s="97">
        <f>SUMIF(B:B,Table1[[#This Row],[Namn]],F:F)</f>
        <v>0</v>
      </c>
    </row>
    <row r="148" spans="1:18" x14ac:dyDescent="0.25">
      <c r="A148" s="97">
        <v>2022</v>
      </c>
      <c r="B148" s="98" t="s">
        <v>88</v>
      </c>
      <c r="C148" s="97">
        <v>2</v>
      </c>
      <c r="D148" s="99">
        <f>IFERROR(Table1[[#This Row],[MAT]]/Table1[[#This Row],[LAG MATCH]],"")</f>
        <v>6.8965517241379309E-2</v>
      </c>
      <c r="E148" s="97">
        <v>0</v>
      </c>
      <c r="F148" s="97">
        <v>0</v>
      </c>
      <c r="G148" s="97">
        <v>0</v>
      </c>
      <c r="H148" s="97">
        <v>29</v>
      </c>
      <c r="I148" s="100">
        <f t="shared" ref="I148:I211" si="8">IFERROR(G148/C148,"")</f>
        <v>0</v>
      </c>
      <c r="J148" s="97">
        <f>Table1[[#This Row],[ÅR]]</f>
        <v>2022</v>
      </c>
      <c r="K148" s="97">
        <v>2004</v>
      </c>
      <c r="L148" s="97">
        <f>Table1[[#This Row],[ÅR]]-Table1[[#This Row],[FÖDD]]</f>
        <v>18</v>
      </c>
      <c r="M148" s="97">
        <v>2</v>
      </c>
      <c r="N148" s="97">
        <f>SUMIF(B:B,Table1[[#This Row],[Namn]],C:C)</f>
        <v>2</v>
      </c>
      <c r="O148" s="97">
        <f>COUNTIF(B:B,Table1[[#This Row],[Namn]])</f>
        <v>1</v>
      </c>
      <c r="P148" s="97">
        <f>SUMIF(B:B,Table1[[#This Row],[Namn]],G:G)</f>
        <v>0</v>
      </c>
      <c r="Q148" s="97">
        <f>SUMIF(B:B,Table1[[#This Row],[Namn]],E:E)</f>
        <v>0</v>
      </c>
      <c r="R148" s="97">
        <f>SUMIF(B:B,Table1[[#This Row],[Namn]],F:F)</f>
        <v>0</v>
      </c>
    </row>
    <row r="149" spans="1:18" x14ac:dyDescent="0.25">
      <c r="A149" s="97">
        <v>2022</v>
      </c>
      <c r="B149" s="98" t="s">
        <v>89</v>
      </c>
      <c r="C149" s="97">
        <v>2</v>
      </c>
      <c r="D149" s="99">
        <f>IFERROR(Table1[[#This Row],[MAT]]/Table1[[#This Row],[LAG MATCH]],"")</f>
        <v>6.8965517241379309E-2</v>
      </c>
      <c r="E149" s="97">
        <v>0</v>
      </c>
      <c r="F149" s="97">
        <v>0</v>
      </c>
      <c r="G149" s="97">
        <v>0</v>
      </c>
      <c r="H149" s="97">
        <v>29</v>
      </c>
      <c r="I149" s="100">
        <f t="shared" si="8"/>
        <v>0</v>
      </c>
      <c r="J149" s="97">
        <f>Table1[[#This Row],[ÅR]]</f>
        <v>2022</v>
      </c>
      <c r="K149" s="97">
        <v>1991</v>
      </c>
      <c r="L149" s="97">
        <f>Table1[[#This Row],[ÅR]]-Table1[[#This Row],[FÖDD]]</f>
        <v>31</v>
      </c>
      <c r="M149" s="97">
        <v>2</v>
      </c>
      <c r="N149" s="97">
        <f>SUMIF(B:B,Table1[[#This Row],[Namn]],C:C)</f>
        <v>63</v>
      </c>
      <c r="O149" s="97">
        <f>COUNTIF(B:B,Table1[[#This Row],[Namn]])</f>
        <v>5</v>
      </c>
      <c r="P149" s="97">
        <f>SUMIF(B:B,Table1[[#This Row],[Namn]],G:G)</f>
        <v>11</v>
      </c>
      <c r="Q149" s="97">
        <f>SUMIF(B:B,Table1[[#This Row],[Namn]],E:E)</f>
        <v>0</v>
      </c>
      <c r="R149" s="97">
        <f>SUMIF(B:B,Table1[[#This Row],[Namn]],F:F)</f>
        <v>0</v>
      </c>
    </row>
    <row r="150" spans="1:18" x14ac:dyDescent="0.25">
      <c r="A150" s="97">
        <v>2022</v>
      </c>
      <c r="B150" s="98" t="s">
        <v>29</v>
      </c>
      <c r="C150" s="97">
        <v>1</v>
      </c>
      <c r="D150" s="99">
        <f>IFERROR(Table1[[#This Row],[MAT]]/Table1[[#This Row],[LAG MATCH]],"")</f>
        <v>3.4482758620689655E-2</v>
      </c>
      <c r="E150" s="97">
        <v>0</v>
      </c>
      <c r="F150" s="97">
        <v>0</v>
      </c>
      <c r="G150" s="97">
        <v>0</v>
      </c>
      <c r="H150" s="97">
        <v>29</v>
      </c>
      <c r="I150" s="100">
        <f t="shared" si="8"/>
        <v>0</v>
      </c>
      <c r="J150" s="97">
        <f>Table1[[#This Row],[ÅR]]</f>
        <v>2022</v>
      </c>
      <c r="K150" s="97">
        <v>2007</v>
      </c>
      <c r="L150" s="97">
        <f>Table1[[#This Row],[ÅR]]-Table1[[#This Row],[FÖDD]]</f>
        <v>15</v>
      </c>
      <c r="M150" s="97">
        <v>2</v>
      </c>
      <c r="N150" s="97">
        <f>SUMIF(B:B,Table1[[#This Row],[Namn]],C:C)</f>
        <v>43</v>
      </c>
      <c r="O150" s="97">
        <f>COUNTIF(B:B,Table1[[#This Row],[Namn]])</f>
        <v>5</v>
      </c>
      <c r="P150" s="97">
        <f>SUMIF(B:B,Table1[[#This Row],[Namn]],G:G)</f>
        <v>14</v>
      </c>
      <c r="Q150" s="97">
        <f>SUMIF(B:B,Table1[[#This Row],[Namn]],E:E)</f>
        <v>1</v>
      </c>
      <c r="R150" s="97">
        <f>SUMIF(B:B,Table1[[#This Row],[Namn]],F:F)</f>
        <v>0</v>
      </c>
    </row>
    <row r="151" spans="1:18" x14ac:dyDescent="0.25">
      <c r="A151" s="97">
        <v>2022</v>
      </c>
      <c r="B151" s="98" t="s">
        <v>90</v>
      </c>
      <c r="C151" s="97">
        <v>1</v>
      </c>
      <c r="D151" s="99">
        <f>IFERROR(Table1[[#This Row],[MAT]]/Table1[[#This Row],[LAG MATCH]],"")</f>
        <v>3.4482758620689655E-2</v>
      </c>
      <c r="E151" s="97">
        <v>0</v>
      </c>
      <c r="F151" s="97">
        <v>0</v>
      </c>
      <c r="G151" s="97">
        <v>0</v>
      </c>
      <c r="H151" s="97">
        <v>29</v>
      </c>
      <c r="I151" s="100">
        <f t="shared" si="8"/>
        <v>0</v>
      </c>
      <c r="J151" s="97">
        <f>Table1[[#This Row],[ÅR]]</f>
        <v>2022</v>
      </c>
      <c r="K151" s="97">
        <v>2004</v>
      </c>
      <c r="L151" s="97">
        <f>Table1[[#This Row],[ÅR]]-Table1[[#This Row],[FÖDD]]</f>
        <v>18</v>
      </c>
      <c r="M151" s="97">
        <v>2</v>
      </c>
      <c r="N151" s="97">
        <f>SUMIF(B:B,Table1[[#This Row],[Namn]],C:C)</f>
        <v>3</v>
      </c>
      <c r="O151" s="97">
        <f>COUNTIF(B:B,Table1[[#This Row],[Namn]])</f>
        <v>2</v>
      </c>
      <c r="P151" s="97">
        <f>SUMIF(B:B,Table1[[#This Row],[Namn]],G:G)</f>
        <v>0</v>
      </c>
      <c r="Q151" s="97">
        <f>SUMIF(B:B,Table1[[#This Row],[Namn]],E:E)</f>
        <v>0</v>
      </c>
      <c r="R151" s="97">
        <f>SUMIF(B:B,Table1[[#This Row],[Namn]],F:F)</f>
        <v>0</v>
      </c>
    </row>
    <row r="152" spans="1:18" x14ac:dyDescent="0.25">
      <c r="A152" s="97">
        <v>2022</v>
      </c>
      <c r="B152" s="98" t="s">
        <v>91</v>
      </c>
      <c r="C152" s="97">
        <v>1</v>
      </c>
      <c r="D152" s="99">
        <f>IFERROR(Table1[[#This Row],[MAT]]/Table1[[#This Row],[LAG MATCH]],"")</f>
        <v>3.4482758620689655E-2</v>
      </c>
      <c r="E152" s="97">
        <v>0</v>
      </c>
      <c r="F152" s="97">
        <v>0</v>
      </c>
      <c r="G152" s="97">
        <v>0</v>
      </c>
      <c r="H152" s="97">
        <v>29</v>
      </c>
      <c r="I152" s="100">
        <f t="shared" si="8"/>
        <v>0</v>
      </c>
      <c r="J152" s="97">
        <f>Table1[[#This Row],[ÅR]]</f>
        <v>2022</v>
      </c>
      <c r="K152" s="97">
        <v>2004</v>
      </c>
      <c r="L152" s="97">
        <f>Table1[[#This Row],[ÅR]]-Table1[[#This Row],[FÖDD]]</f>
        <v>18</v>
      </c>
      <c r="M152" s="97">
        <v>2</v>
      </c>
      <c r="N152" s="97">
        <f>SUMIF(B:B,Table1[[#This Row],[Namn]],C:C)</f>
        <v>1</v>
      </c>
      <c r="O152" s="97">
        <f>COUNTIF(B:B,Table1[[#This Row],[Namn]])</f>
        <v>1</v>
      </c>
      <c r="P152" s="97">
        <f>SUMIF(B:B,Table1[[#This Row],[Namn]],G:G)</f>
        <v>0</v>
      </c>
      <c r="Q152" s="97">
        <f>SUMIF(B:B,Table1[[#This Row],[Namn]],E:E)</f>
        <v>0</v>
      </c>
      <c r="R152" s="97">
        <f>SUMIF(B:B,Table1[[#This Row],[Namn]],F:F)</f>
        <v>0</v>
      </c>
    </row>
    <row r="153" spans="1:18" x14ac:dyDescent="0.25">
      <c r="A153" s="97">
        <v>2022</v>
      </c>
      <c r="B153" s="98" t="s">
        <v>92</v>
      </c>
      <c r="C153" s="97">
        <v>1</v>
      </c>
      <c r="D153" s="99">
        <f>IFERROR(Table1[[#This Row],[MAT]]/Table1[[#This Row],[LAG MATCH]],"")</f>
        <v>3.4482758620689655E-2</v>
      </c>
      <c r="E153" s="97">
        <v>0</v>
      </c>
      <c r="F153" s="97">
        <v>0</v>
      </c>
      <c r="G153" s="97">
        <v>0</v>
      </c>
      <c r="H153" s="97">
        <v>29</v>
      </c>
      <c r="I153" s="100">
        <f t="shared" si="8"/>
        <v>0</v>
      </c>
      <c r="J153" s="97">
        <f>Table1[[#This Row],[ÅR]]</f>
        <v>2022</v>
      </c>
      <c r="K153" s="97">
        <v>2004</v>
      </c>
      <c r="L153" s="97">
        <f>Table1[[#This Row],[ÅR]]-Table1[[#This Row],[FÖDD]]</f>
        <v>18</v>
      </c>
      <c r="M153" s="97">
        <v>2</v>
      </c>
      <c r="N153" s="97">
        <f>SUMIF(B:B,Table1[[#This Row],[Namn]],C:C)</f>
        <v>1</v>
      </c>
      <c r="O153" s="97">
        <f>COUNTIF(B:B,Table1[[#This Row],[Namn]])</f>
        <v>1</v>
      </c>
      <c r="P153" s="97">
        <f>SUMIF(B:B,Table1[[#This Row],[Namn]],G:G)</f>
        <v>0</v>
      </c>
      <c r="Q153" s="97">
        <f>SUMIF(B:B,Table1[[#This Row],[Namn]],E:E)</f>
        <v>0</v>
      </c>
      <c r="R153" s="97">
        <f>SUMIF(B:B,Table1[[#This Row],[Namn]],F:F)</f>
        <v>0</v>
      </c>
    </row>
    <row r="154" spans="1:18" x14ac:dyDescent="0.25">
      <c r="A154" s="97">
        <v>2022</v>
      </c>
      <c r="B154" s="98" t="s">
        <v>33</v>
      </c>
      <c r="C154" s="97">
        <v>1</v>
      </c>
      <c r="D154" s="99">
        <f>IFERROR(Table1[[#This Row],[MAT]]/Table1[[#This Row],[LAG MATCH]],"")</f>
        <v>3.4482758620689655E-2</v>
      </c>
      <c r="E154" s="97">
        <v>0</v>
      </c>
      <c r="F154" s="97">
        <v>0</v>
      </c>
      <c r="G154" s="97">
        <v>0</v>
      </c>
      <c r="H154" s="97">
        <v>29</v>
      </c>
      <c r="I154" s="100">
        <f t="shared" si="8"/>
        <v>0</v>
      </c>
      <c r="J154" s="97">
        <f>Table1[[#This Row],[ÅR]]</f>
        <v>2022</v>
      </c>
      <c r="K154" s="97">
        <v>1999</v>
      </c>
      <c r="L154" s="97">
        <f>Table1[[#This Row],[ÅR]]-Table1[[#This Row],[FÖDD]]</f>
        <v>23</v>
      </c>
      <c r="M154" s="97">
        <v>2</v>
      </c>
      <c r="N154" s="97">
        <f>SUMIF(B:B,Table1[[#This Row],[Namn]],C:C)</f>
        <v>36</v>
      </c>
      <c r="O154" s="97">
        <f>COUNTIF(B:B,Table1[[#This Row],[Namn]])</f>
        <v>5</v>
      </c>
      <c r="P154" s="97">
        <f>SUMIF(B:B,Table1[[#This Row],[Namn]],G:G)</f>
        <v>0</v>
      </c>
      <c r="Q154" s="97">
        <f>SUMIF(B:B,Table1[[#This Row],[Namn]],E:E)</f>
        <v>1</v>
      </c>
      <c r="R154" s="97">
        <f>SUMIF(B:B,Table1[[#This Row],[Namn]],F:F)</f>
        <v>0</v>
      </c>
    </row>
    <row r="155" spans="1:18" x14ac:dyDescent="0.25">
      <c r="A155" s="97">
        <v>2021</v>
      </c>
      <c r="B155" s="98" t="s">
        <v>70</v>
      </c>
      <c r="C155" s="97">
        <v>11</v>
      </c>
      <c r="D155" s="99">
        <f>IFERROR(Table1[[#This Row],[MAT]]/Table1[[#This Row],[LAG MATCH]],"")</f>
        <v>1</v>
      </c>
      <c r="E155" s="97">
        <v>0</v>
      </c>
      <c r="F155" s="97">
        <v>0</v>
      </c>
      <c r="G155" s="97">
        <v>6</v>
      </c>
      <c r="H155" s="97">
        <v>11</v>
      </c>
      <c r="I155" s="100">
        <f t="shared" si="8"/>
        <v>0.54545454545454541</v>
      </c>
      <c r="J155" s="97">
        <f>Table1[[#This Row],[ÅR]]</f>
        <v>2021</v>
      </c>
      <c r="K155" s="97">
        <v>1997</v>
      </c>
      <c r="L155" s="97">
        <f>Table1[[#This Row],[ÅR]]-Table1[[#This Row],[FÖDD]]</f>
        <v>24</v>
      </c>
      <c r="M155" s="97">
        <v>2</v>
      </c>
      <c r="N155" s="97">
        <f>SUMIF(B:B,Table1[[#This Row],[Namn]],C:C)</f>
        <v>70</v>
      </c>
      <c r="O155" s="97">
        <f>COUNTIF(B:B,Table1[[#This Row],[Namn]])</f>
        <v>4</v>
      </c>
      <c r="P155" s="97">
        <f>SUMIF(B:B,Table1[[#This Row],[Namn]],G:G)</f>
        <v>38</v>
      </c>
      <c r="Q155" s="97">
        <f>SUMIF(B:B,Table1[[#This Row],[Namn]],E:E)</f>
        <v>2</v>
      </c>
      <c r="R155" s="97">
        <f>SUMIF(B:B,Table1[[#This Row],[Namn]],F:F)</f>
        <v>0</v>
      </c>
    </row>
    <row r="156" spans="1:18" x14ac:dyDescent="0.25">
      <c r="A156" s="97">
        <v>2021</v>
      </c>
      <c r="B156" s="98" t="s">
        <v>80</v>
      </c>
      <c r="C156" s="97">
        <v>11</v>
      </c>
      <c r="D156" s="99">
        <f>IFERROR(Table1[[#This Row],[MAT]]/Table1[[#This Row],[LAG MATCH]],"")</f>
        <v>1</v>
      </c>
      <c r="E156" s="97">
        <v>0</v>
      </c>
      <c r="F156" s="97">
        <v>0</v>
      </c>
      <c r="G156" s="97">
        <v>4</v>
      </c>
      <c r="H156" s="97">
        <v>11</v>
      </c>
      <c r="I156" s="100">
        <f t="shared" si="8"/>
        <v>0.36363636363636365</v>
      </c>
      <c r="J156" s="97">
        <f>Table1[[#This Row],[ÅR]]</f>
        <v>2021</v>
      </c>
      <c r="K156" s="97">
        <v>2004</v>
      </c>
      <c r="L156" s="97">
        <f>Table1[[#This Row],[ÅR]]-Table1[[#This Row],[FÖDD]]</f>
        <v>17</v>
      </c>
      <c r="M156" s="97">
        <v>2</v>
      </c>
      <c r="N156" s="97">
        <f>SUMIF(B:B,Table1[[#This Row],[Namn]],C:C)</f>
        <v>50</v>
      </c>
      <c r="O156" s="97">
        <f>COUNTIF(B:B,Table1[[#This Row],[Namn]])</f>
        <v>5</v>
      </c>
      <c r="P156" s="97">
        <f>SUMIF(B:B,Table1[[#This Row],[Namn]],G:G)</f>
        <v>6</v>
      </c>
      <c r="Q156" s="97">
        <f>SUMIF(B:B,Table1[[#This Row],[Namn]],E:E)</f>
        <v>0</v>
      </c>
      <c r="R156" s="97">
        <f>SUMIF(B:B,Table1[[#This Row],[Namn]],F:F)</f>
        <v>0</v>
      </c>
    </row>
    <row r="157" spans="1:18" x14ac:dyDescent="0.25">
      <c r="A157" s="97">
        <v>2021</v>
      </c>
      <c r="B157" s="98" t="s">
        <v>34</v>
      </c>
      <c r="C157" s="97">
        <v>11</v>
      </c>
      <c r="D157" s="99">
        <f>IFERROR(Table1[[#This Row],[MAT]]/Table1[[#This Row],[LAG MATCH]],"")</f>
        <v>1</v>
      </c>
      <c r="E157" s="97">
        <v>0</v>
      </c>
      <c r="F157" s="97">
        <v>0</v>
      </c>
      <c r="G157" s="97">
        <v>4</v>
      </c>
      <c r="H157" s="97">
        <v>11</v>
      </c>
      <c r="I157" s="100">
        <f t="shared" si="8"/>
        <v>0.36363636363636365</v>
      </c>
      <c r="J157" s="97">
        <f>Table1[[#This Row],[ÅR]]</f>
        <v>2021</v>
      </c>
      <c r="K157" s="97">
        <v>1991</v>
      </c>
      <c r="L157" s="97">
        <f>Table1[[#This Row],[ÅR]]-Table1[[#This Row],[FÖDD]]</f>
        <v>30</v>
      </c>
      <c r="M157" s="97">
        <v>2</v>
      </c>
      <c r="N157" s="97">
        <f>SUMIF(B:B,Table1[[#This Row],[Namn]],C:C)</f>
        <v>138</v>
      </c>
      <c r="O157" s="97">
        <f>COUNTIF(B:B,Table1[[#This Row],[Namn]])</f>
        <v>9</v>
      </c>
      <c r="P157" s="97">
        <f>SUMIF(B:B,Table1[[#This Row],[Namn]],G:G)</f>
        <v>103</v>
      </c>
      <c r="Q157" s="97">
        <f>SUMIF(B:B,Table1[[#This Row],[Namn]],E:E)</f>
        <v>4</v>
      </c>
      <c r="R157" s="97">
        <f>SUMIF(B:B,Table1[[#This Row],[Namn]],F:F)</f>
        <v>0</v>
      </c>
    </row>
    <row r="158" spans="1:18" x14ac:dyDescent="0.25">
      <c r="A158" s="97">
        <v>2021</v>
      </c>
      <c r="B158" s="98" t="s">
        <v>56</v>
      </c>
      <c r="C158" s="97">
        <v>11</v>
      </c>
      <c r="D158" s="99">
        <f>IFERROR(Table1[[#This Row],[MAT]]/Table1[[#This Row],[LAG MATCH]],"")</f>
        <v>1</v>
      </c>
      <c r="E158" s="97">
        <v>0</v>
      </c>
      <c r="F158" s="97">
        <v>0</v>
      </c>
      <c r="G158" s="97">
        <v>3</v>
      </c>
      <c r="H158" s="97">
        <v>11</v>
      </c>
      <c r="I158" s="100">
        <f t="shared" si="8"/>
        <v>0.27272727272727271</v>
      </c>
      <c r="J158" s="97">
        <f>Table1[[#This Row],[ÅR]]</f>
        <v>2021</v>
      </c>
      <c r="K158" s="97">
        <v>2002</v>
      </c>
      <c r="L158" s="97">
        <f>Table1[[#This Row],[ÅR]]-Table1[[#This Row],[FÖDD]]</f>
        <v>19</v>
      </c>
      <c r="M158" s="97">
        <v>2</v>
      </c>
      <c r="N158" s="97">
        <f>SUMIF(B:B,Table1[[#This Row],[Namn]],C:C)</f>
        <v>151</v>
      </c>
      <c r="O158" s="97">
        <f>COUNTIF(B:B,Table1[[#This Row],[Namn]])</f>
        <v>8</v>
      </c>
      <c r="P158" s="97">
        <f>SUMIF(B:B,Table1[[#This Row],[Namn]],G:G)</f>
        <v>29</v>
      </c>
      <c r="Q158" s="97">
        <f>SUMIF(B:B,Table1[[#This Row],[Namn]],E:E)</f>
        <v>9</v>
      </c>
      <c r="R158" s="97">
        <f>SUMIF(B:B,Table1[[#This Row],[Namn]],F:F)</f>
        <v>0</v>
      </c>
    </row>
    <row r="159" spans="1:18" x14ac:dyDescent="0.25">
      <c r="A159" s="97">
        <v>2021</v>
      </c>
      <c r="B159" s="98" t="s">
        <v>82</v>
      </c>
      <c r="C159" s="97">
        <v>11</v>
      </c>
      <c r="D159" s="99">
        <f>IFERROR(Table1[[#This Row],[MAT]]/Table1[[#This Row],[LAG MATCH]],"")</f>
        <v>1</v>
      </c>
      <c r="E159" s="97">
        <v>1</v>
      </c>
      <c r="F159" s="97">
        <v>0</v>
      </c>
      <c r="G159" s="97">
        <v>1</v>
      </c>
      <c r="H159" s="97">
        <v>11</v>
      </c>
      <c r="I159" s="100">
        <f t="shared" si="8"/>
        <v>9.0909090909090912E-2</v>
      </c>
      <c r="J159" s="97">
        <f>Table1[[#This Row],[ÅR]]</f>
        <v>2021</v>
      </c>
      <c r="K159" s="97">
        <v>1995</v>
      </c>
      <c r="L159" s="97">
        <f>Table1[[#This Row],[ÅR]]-Table1[[#This Row],[FÖDD]]</f>
        <v>26</v>
      </c>
      <c r="M159" s="97">
        <v>2</v>
      </c>
      <c r="N159" s="97">
        <f>SUMIF(B:B,Table1[[#This Row],[Namn]],C:C)</f>
        <v>89</v>
      </c>
      <c r="O159" s="97">
        <f>COUNTIF(B:B,Table1[[#This Row],[Namn]])</f>
        <v>5</v>
      </c>
      <c r="P159" s="97">
        <f>SUMIF(B:B,Table1[[#This Row],[Namn]],G:G)</f>
        <v>9</v>
      </c>
      <c r="Q159" s="97">
        <f>SUMIF(B:B,Table1[[#This Row],[Namn]],E:E)</f>
        <v>4</v>
      </c>
      <c r="R159" s="97">
        <f>SUMIF(B:B,Table1[[#This Row],[Namn]],F:F)</f>
        <v>0</v>
      </c>
    </row>
    <row r="160" spans="1:18" x14ac:dyDescent="0.25">
      <c r="A160" s="97">
        <v>2021</v>
      </c>
      <c r="B160" s="98" t="s">
        <v>74</v>
      </c>
      <c r="C160" s="97">
        <v>11</v>
      </c>
      <c r="D160" s="99">
        <f>IFERROR(Table1[[#This Row],[MAT]]/Table1[[#This Row],[LAG MATCH]],"")</f>
        <v>1</v>
      </c>
      <c r="E160" s="97">
        <v>1</v>
      </c>
      <c r="F160" s="97">
        <v>0</v>
      </c>
      <c r="G160" s="97">
        <v>0</v>
      </c>
      <c r="H160" s="97">
        <v>11</v>
      </c>
      <c r="I160" s="100">
        <f t="shared" si="8"/>
        <v>0</v>
      </c>
      <c r="J160" s="97">
        <f>Table1[[#This Row],[ÅR]]</f>
        <v>2021</v>
      </c>
      <c r="K160" s="97">
        <v>1996</v>
      </c>
      <c r="L160" s="97">
        <f>Table1[[#This Row],[ÅR]]-Table1[[#This Row],[FÖDD]]</f>
        <v>25</v>
      </c>
      <c r="M160" s="97">
        <v>2</v>
      </c>
      <c r="N160" s="97">
        <f>SUMIF(B:B,Table1[[#This Row],[Namn]],C:C)</f>
        <v>200</v>
      </c>
      <c r="O160" s="97">
        <f>COUNTIF(B:B,Table1[[#This Row],[Namn]])</f>
        <v>12</v>
      </c>
      <c r="P160" s="97">
        <f>SUMIF(B:B,Table1[[#This Row],[Namn]],G:G)</f>
        <v>9</v>
      </c>
      <c r="Q160" s="97">
        <f>SUMIF(B:B,Table1[[#This Row],[Namn]],E:E)</f>
        <v>1</v>
      </c>
      <c r="R160" s="97">
        <f>SUMIF(B:B,Table1[[#This Row],[Namn]],F:F)</f>
        <v>0</v>
      </c>
    </row>
    <row r="161" spans="1:18" x14ac:dyDescent="0.25">
      <c r="A161" s="97">
        <v>2021</v>
      </c>
      <c r="B161" s="98" t="s">
        <v>71</v>
      </c>
      <c r="C161" s="97">
        <v>10</v>
      </c>
      <c r="D161" s="99">
        <f>IFERROR(Table1[[#This Row],[MAT]]/Table1[[#This Row],[LAG MATCH]],"")</f>
        <v>0.90909090909090906</v>
      </c>
      <c r="E161" s="97">
        <v>0</v>
      </c>
      <c r="F161" s="97">
        <v>0</v>
      </c>
      <c r="G161" s="97">
        <v>0</v>
      </c>
      <c r="H161" s="97">
        <v>11</v>
      </c>
      <c r="I161" s="100">
        <f t="shared" si="8"/>
        <v>0</v>
      </c>
      <c r="J161" s="97">
        <f>Table1[[#This Row],[ÅR]]</f>
        <v>2021</v>
      </c>
      <c r="K161" s="97">
        <v>2004</v>
      </c>
      <c r="L161" s="97">
        <f>Table1[[#This Row],[ÅR]]-Table1[[#This Row],[FÖDD]]</f>
        <v>17</v>
      </c>
      <c r="M161" s="97">
        <v>2</v>
      </c>
      <c r="N161" s="97">
        <f>SUMIF(B:B,Table1[[#This Row],[Namn]],C:C)</f>
        <v>71</v>
      </c>
      <c r="O161" s="97">
        <f>COUNTIF(B:B,Table1[[#This Row],[Namn]])</f>
        <v>5</v>
      </c>
      <c r="P161" s="97">
        <f>SUMIF(B:B,Table1[[#This Row],[Namn]],G:G)</f>
        <v>0</v>
      </c>
      <c r="Q161" s="97">
        <f>SUMIF(B:B,Table1[[#This Row],[Namn]],E:E)</f>
        <v>0</v>
      </c>
      <c r="R161" s="97">
        <f>SUMIF(B:B,Table1[[#This Row],[Namn]],F:F)</f>
        <v>0</v>
      </c>
    </row>
    <row r="162" spans="1:18" x14ac:dyDescent="0.25">
      <c r="A162" s="97">
        <v>2021</v>
      </c>
      <c r="B162" s="98" t="s">
        <v>75</v>
      </c>
      <c r="C162" s="97">
        <v>10</v>
      </c>
      <c r="D162" s="99">
        <f>IFERROR(Table1[[#This Row],[MAT]]/Table1[[#This Row],[LAG MATCH]],"")</f>
        <v>0.90909090909090906</v>
      </c>
      <c r="E162" s="97">
        <v>0</v>
      </c>
      <c r="F162" s="97">
        <v>0</v>
      </c>
      <c r="G162" s="97">
        <v>0</v>
      </c>
      <c r="H162" s="97">
        <v>11</v>
      </c>
      <c r="I162" s="100">
        <f t="shared" si="8"/>
        <v>0</v>
      </c>
      <c r="J162" s="97">
        <f>Table1[[#This Row],[ÅR]]</f>
        <v>2021</v>
      </c>
      <c r="K162" s="97">
        <v>1999</v>
      </c>
      <c r="L162" s="97">
        <f>Table1[[#This Row],[ÅR]]-Table1[[#This Row],[FÖDD]]</f>
        <v>22</v>
      </c>
      <c r="M162" s="97">
        <v>2</v>
      </c>
      <c r="N162" s="97">
        <f>SUMIF(B:B,Table1[[#This Row],[Namn]],C:C)</f>
        <v>30</v>
      </c>
      <c r="O162" s="97">
        <f>COUNTIF(B:B,Table1[[#This Row],[Namn]])</f>
        <v>3</v>
      </c>
      <c r="P162" s="97">
        <f>SUMIF(B:B,Table1[[#This Row],[Namn]],G:G)</f>
        <v>0</v>
      </c>
      <c r="Q162" s="97">
        <f>SUMIF(B:B,Table1[[#This Row],[Namn]],E:E)</f>
        <v>0</v>
      </c>
      <c r="R162" s="97">
        <f>SUMIF(B:B,Table1[[#This Row],[Namn]],F:F)</f>
        <v>0</v>
      </c>
    </row>
    <row r="163" spans="1:18" x14ac:dyDescent="0.25">
      <c r="A163" s="97">
        <v>2021</v>
      </c>
      <c r="B163" s="98" t="s">
        <v>33</v>
      </c>
      <c r="C163" s="97">
        <v>10</v>
      </c>
      <c r="D163" s="99">
        <f>IFERROR(Table1[[#This Row],[MAT]]/Table1[[#This Row],[LAG MATCH]],"")</f>
        <v>0.90909090909090906</v>
      </c>
      <c r="E163" s="97">
        <v>0</v>
      </c>
      <c r="F163" s="97">
        <v>0</v>
      </c>
      <c r="G163" s="97">
        <v>0</v>
      </c>
      <c r="H163" s="97">
        <v>11</v>
      </c>
      <c r="I163" s="100">
        <f t="shared" si="8"/>
        <v>0</v>
      </c>
      <c r="J163" s="97">
        <f>Table1[[#This Row],[ÅR]]</f>
        <v>2021</v>
      </c>
      <c r="K163" s="97">
        <v>1999</v>
      </c>
      <c r="L163" s="97">
        <f>Table1[[#This Row],[ÅR]]-Table1[[#This Row],[FÖDD]]</f>
        <v>22</v>
      </c>
      <c r="M163" s="97">
        <v>2</v>
      </c>
      <c r="N163" s="97">
        <f>SUMIF(B:B,Table1[[#This Row],[Namn]],C:C)</f>
        <v>36</v>
      </c>
      <c r="O163" s="97">
        <f>COUNTIF(B:B,Table1[[#This Row],[Namn]])</f>
        <v>5</v>
      </c>
      <c r="P163" s="97">
        <f>SUMIF(B:B,Table1[[#This Row],[Namn]],G:G)</f>
        <v>0</v>
      </c>
      <c r="Q163" s="97">
        <f>SUMIF(B:B,Table1[[#This Row],[Namn]],E:E)</f>
        <v>1</v>
      </c>
      <c r="R163" s="97">
        <f>SUMIF(B:B,Table1[[#This Row],[Namn]],F:F)</f>
        <v>0</v>
      </c>
    </row>
    <row r="164" spans="1:18" x14ac:dyDescent="0.25">
      <c r="A164" s="97">
        <v>2021</v>
      </c>
      <c r="B164" s="98" t="s">
        <v>93</v>
      </c>
      <c r="C164" s="97">
        <v>9</v>
      </c>
      <c r="D164" s="99">
        <f>IFERROR(Table1[[#This Row],[MAT]]/Table1[[#This Row],[LAG MATCH]],"")</f>
        <v>0.81818181818181823</v>
      </c>
      <c r="E164" s="97">
        <v>0</v>
      </c>
      <c r="F164" s="97">
        <v>0</v>
      </c>
      <c r="G164" s="97">
        <v>9</v>
      </c>
      <c r="H164" s="97">
        <v>11</v>
      </c>
      <c r="I164" s="100">
        <f t="shared" si="8"/>
        <v>1</v>
      </c>
      <c r="J164" s="97">
        <f>Table1[[#This Row],[ÅR]]</f>
        <v>2021</v>
      </c>
      <c r="K164" s="97">
        <v>2001</v>
      </c>
      <c r="L164" s="97">
        <f>Table1[[#This Row],[ÅR]]-Table1[[#This Row],[FÖDD]]</f>
        <v>20</v>
      </c>
      <c r="M164" s="97">
        <v>2</v>
      </c>
      <c r="N164" s="97">
        <f>SUMIF(B:B,Table1[[#This Row],[Namn]],C:C)</f>
        <v>9</v>
      </c>
      <c r="O164" s="97">
        <f>COUNTIF(B:B,Table1[[#This Row],[Namn]])</f>
        <v>1</v>
      </c>
      <c r="P164" s="97">
        <f>SUMIF(B:B,Table1[[#This Row],[Namn]],G:G)</f>
        <v>9</v>
      </c>
      <c r="Q164" s="97">
        <f>SUMIF(B:B,Table1[[#This Row],[Namn]],E:E)</f>
        <v>0</v>
      </c>
      <c r="R164" s="97">
        <f>SUMIF(B:B,Table1[[#This Row],[Namn]],F:F)</f>
        <v>0</v>
      </c>
    </row>
    <row r="165" spans="1:18" x14ac:dyDescent="0.25">
      <c r="A165" s="97">
        <v>2021</v>
      </c>
      <c r="B165" s="98" t="s">
        <v>86</v>
      </c>
      <c r="C165" s="97">
        <v>9</v>
      </c>
      <c r="D165" s="99">
        <f>IFERROR(Table1[[#This Row],[MAT]]/Table1[[#This Row],[LAG MATCH]],"")</f>
        <v>0.81818181818181823</v>
      </c>
      <c r="E165" s="97">
        <v>0</v>
      </c>
      <c r="F165" s="97">
        <v>0</v>
      </c>
      <c r="G165" s="97">
        <v>0</v>
      </c>
      <c r="H165" s="97">
        <v>11</v>
      </c>
      <c r="I165" s="100">
        <f t="shared" si="8"/>
        <v>0</v>
      </c>
      <c r="J165" s="97">
        <f>Table1[[#This Row],[ÅR]]</f>
        <v>2021</v>
      </c>
      <c r="K165" s="97">
        <v>2003</v>
      </c>
      <c r="L165" s="97">
        <f>Table1[[#This Row],[ÅR]]-Table1[[#This Row],[FÖDD]]</f>
        <v>18</v>
      </c>
      <c r="M165" s="97">
        <v>2</v>
      </c>
      <c r="N165" s="97">
        <f>SUMIF(B:B,Table1[[#This Row],[Namn]],C:C)</f>
        <v>27</v>
      </c>
      <c r="O165" s="97">
        <f>COUNTIF(B:B,Table1[[#This Row],[Namn]])</f>
        <v>5</v>
      </c>
      <c r="P165" s="97">
        <f>SUMIF(B:B,Table1[[#This Row],[Namn]],G:G)</f>
        <v>1</v>
      </c>
      <c r="Q165" s="97">
        <f>SUMIF(B:B,Table1[[#This Row],[Namn]],E:E)</f>
        <v>0</v>
      </c>
      <c r="R165" s="97">
        <f>SUMIF(B:B,Table1[[#This Row],[Namn]],F:F)</f>
        <v>0</v>
      </c>
    </row>
    <row r="166" spans="1:18" x14ac:dyDescent="0.25">
      <c r="A166" s="97">
        <v>2021</v>
      </c>
      <c r="B166" s="98" t="s">
        <v>69</v>
      </c>
      <c r="C166" s="97">
        <v>9</v>
      </c>
      <c r="D166" s="99">
        <f>IFERROR(Table1[[#This Row],[MAT]]/Table1[[#This Row],[LAG MATCH]],"")</f>
        <v>0.81818181818181823</v>
      </c>
      <c r="E166" s="97">
        <v>0</v>
      </c>
      <c r="F166" s="97">
        <v>0</v>
      </c>
      <c r="G166" s="97">
        <v>0</v>
      </c>
      <c r="H166" s="97">
        <v>11</v>
      </c>
      <c r="I166" s="100">
        <f t="shared" si="8"/>
        <v>0</v>
      </c>
      <c r="J166" s="97">
        <f>Table1[[#This Row],[ÅR]]</f>
        <v>2021</v>
      </c>
      <c r="K166" s="97">
        <v>1996</v>
      </c>
      <c r="L166" s="97">
        <f>Table1[[#This Row],[ÅR]]-Table1[[#This Row],[FÖDD]]</f>
        <v>25</v>
      </c>
      <c r="M166" s="97">
        <v>2</v>
      </c>
      <c r="N166" s="97">
        <f>SUMIF(B:B,Table1[[#This Row],[Namn]],C:C)</f>
        <v>105</v>
      </c>
      <c r="O166" s="97">
        <f>COUNTIF(B:B,Table1[[#This Row],[Namn]])</f>
        <v>6</v>
      </c>
      <c r="P166" s="97">
        <f>SUMIF(B:B,Table1[[#This Row],[Namn]],G:G)</f>
        <v>11</v>
      </c>
      <c r="Q166" s="97">
        <f>SUMIF(B:B,Table1[[#This Row],[Namn]],E:E)</f>
        <v>1</v>
      </c>
      <c r="R166" s="97">
        <f>SUMIF(B:B,Table1[[#This Row],[Namn]],F:F)</f>
        <v>0</v>
      </c>
    </row>
    <row r="167" spans="1:18" x14ac:dyDescent="0.25">
      <c r="A167" s="97">
        <v>2021</v>
      </c>
      <c r="B167" s="98" t="s">
        <v>50</v>
      </c>
      <c r="C167" s="97">
        <v>9</v>
      </c>
      <c r="D167" s="99">
        <f>IFERROR(Table1[[#This Row],[MAT]]/Table1[[#This Row],[LAG MATCH]],"")</f>
        <v>0.81818181818181823</v>
      </c>
      <c r="E167" s="97">
        <v>0</v>
      </c>
      <c r="F167" s="97">
        <v>0</v>
      </c>
      <c r="G167" s="97">
        <v>0</v>
      </c>
      <c r="H167" s="97">
        <v>11</v>
      </c>
      <c r="I167" s="100">
        <f t="shared" si="8"/>
        <v>0</v>
      </c>
      <c r="J167" s="97">
        <f>Table1[[#This Row],[ÅR]]</f>
        <v>2021</v>
      </c>
      <c r="K167" s="97">
        <v>1993</v>
      </c>
      <c r="L167" s="97">
        <f>Table1[[#This Row],[ÅR]]-Table1[[#This Row],[FÖDD]]</f>
        <v>28</v>
      </c>
      <c r="M167" s="97">
        <v>2</v>
      </c>
      <c r="N167" s="97">
        <f>SUMIF(B:B,Table1[[#This Row],[Namn]],C:C)</f>
        <v>92</v>
      </c>
      <c r="O167" s="97">
        <f>COUNTIF(B:B,Table1[[#This Row],[Namn]])</f>
        <v>7</v>
      </c>
      <c r="P167" s="97">
        <f>SUMIF(B:B,Table1[[#This Row],[Namn]],G:G)</f>
        <v>5</v>
      </c>
      <c r="Q167" s="97">
        <f>SUMIF(B:B,Table1[[#This Row],[Namn]],E:E)</f>
        <v>4</v>
      </c>
      <c r="R167" s="97">
        <f>SUMIF(B:B,Table1[[#This Row],[Namn]],F:F)</f>
        <v>0</v>
      </c>
    </row>
    <row r="168" spans="1:18" x14ac:dyDescent="0.25">
      <c r="A168" s="97">
        <v>2021</v>
      </c>
      <c r="B168" s="98" t="s">
        <v>84</v>
      </c>
      <c r="C168" s="97">
        <v>8</v>
      </c>
      <c r="D168" s="99">
        <f>IFERROR(Table1[[#This Row],[MAT]]/Table1[[#This Row],[LAG MATCH]],"")</f>
        <v>0.72727272727272729</v>
      </c>
      <c r="E168" s="97">
        <v>0</v>
      </c>
      <c r="F168" s="97">
        <v>0</v>
      </c>
      <c r="G168" s="97">
        <v>0</v>
      </c>
      <c r="H168" s="97">
        <v>11</v>
      </c>
      <c r="I168" s="100">
        <f t="shared" si="8"/>
        <v>0</v>
      </c>
      <c r="J168" s="97">
        <f>Table1[[#This Row],[ÅR]]</f>
        <v>2021</v>
      </c>
      <c r="K168" s="97">
        <v>1997</v>
      </c>
      <c r="L168" s="97">
        <f>Table1[[#This Row],[ÅR]]-Table1[[#This Row],[FÖDD]]</f>
        <v>24</v>
      </c>
      <c r="M168" s="97">
        <v>2</v>
      </c>
      <c r="N168" s="97">
        <f>SUMIF(B:B,Table1[[#This Row],[Namn]],C:C)</f>
        <v>74</v>
      </c>
      <c r="O168" s="97">
        <f>COUNTIF(B:B,Table1[[#This Row],[Namn]])</f>
        <v>5</v>
      </c>
      <c r="P168" s="97">
        <f>SUMIF(B:B,Table1[[#This Row],[Namn]],G:G)</f>
        <v>1</v>
      </c>
      <c r="Q168" s="97">
        <f>SUMIF(B:B,Table1[[#This Row],[Namn]],E:E)</f>
        <v>1</v>
      </c>
      <c r="R168" s="97">
        <f>SUMIF(B:B,Table1[[#This Row],[Namn]],F:F)</f>
        <v>0</v>
      </c>
    </row>
    <row r="169" spans="1:18" x14ac:dyDescent="0.25">
      <c r="A169" s="97">
        <v>2021</v>
      </c>
      <c r="B169" s="98" t="s">
        <v>79</v>
      </c>
      <c r="C169" s="97">
        <v>6</v>
      </c>
      <c r="D169" s="99">
        <f>IFERROR(Table1[[#This Row],[MAT]]/Table1[[#This Row],[LAG MATCH]],"")</f>
        <v>0.54545454545454541</v>
      </c>
      <c r="E169" s="97">
        <v>0</v>
      </c>
      <c r="F169" s="97">
        <v>0</v>
      </c>
      <c r="G169" s="97">
        <v>0</v>
      </c>
      <c r="H169" s="97">
        <v>11</v>
      </c>
      <c r="I169" s="100">
        <f t="shared" si="8"/>
        <v>0</v>
      </c>
      <c r="J169" s="97">
        <f>Table1[[#This Row],[ÅR]]</f>
        <v>2021</v>
      </c>
      <c r="K169" s="97">
        <v>2004</v>
      </c>
      <c r="L169" s="97">
        <f>Table1[[#This Row],[ÅR]]-Table1[[#This Row],[FÖDD]]</f>
        <v>17</v>
      </c>
      <c r="M169" s="97">
        <v>2</v>
      </c>
      <c r="N169" s="97">
        <f>SUMIF(B:B,Table1[[#This Row],[Namn]],C:C)</f>
        <v>35</v>
      </c>
      <c r="O169" s="97">
        <f>COUNTIF(B:B,Table1[[#This Row],[Namn]])</f>
        <v>4</v>
      </c>
      <c r="P169" s="97">
        <f>SUMIF(B:B,Table1[[#This Row],[Namn]],G:G)</f>
        <v>1</v>
      </c>
      <c r="Q169" s="97">
        <f>SUMIF(B:B,Table1[[#This Row],[Namn]],E:E)</f>
        <v>0</v>
      </c>
      <c r="R169" s="97">
        <f>SUMIF(B:B,Table1[[#This Row],[Namn]],F:F)</f>
        <v>0</v>
      </c>
    </row>
    <row r="170" spans="1:18" x14ac:dyDescent="0.25">
      <c r="A170" s="97">
        <v>2021</v>
      </c>
      <c r="B170" s="98" t="s">
        <v>94</v>
      </c>
      <c r="C170" s="97">
        <v>4</v>
      </c>
      <c r="D170" s="99">
        <f>IFERROR(Table1[[#This Row],[MAT]]/Table1[[#This Row],[LAG MATCH]],"")</f>
        <v>0.36363636363636365</v>
      </c>
      <c r="E170" s="97">
        <v>0</v>
      </c>
      <c r="F170" s="97">
        <v>0</v>
      </c>
      <c r="G170" s="97">
        <v>0</v>
      </c>
      <c r="H170" s="97">
        <v>11</v>
      </c>
      <c r="I170" s="100">
        <f t="shared" si="8"/>
        <v>0</v>
      </c>
      <c r="J170" s="97">
        <f>Table1[[#This Row],[ÅR]]</f>
        <v>2021</v>
      </c>
      <c r="K170" s="97">
        <v>2001</v>
      </c>
      <c r="L170" s="97">
        <f>Table1[[#This Row],[ÅR]]-Table1[[#This Row],[FÖDD]]</f>
        <v>20</v>
      </c>
      <c r="M170" s="97">
        <v>2</v>
      </c>
      <c r="N170" s="97">
        <f>SUMIF(B:B,Table1[[#This Row],[Namn]],C:C)</f>
        <v>12</v>
      </c>
      <c r="O170" s="97">
        <f>COUNTIF(B:B,Table1[[#This Row],[Namn]])</f>
        <v>3</v>
      </c>
      <c r="P170" s="97">
        <f>SUMIF(B:B,Table1[[#This Row],[Namn]],G:G)</f>
        <v>0</v>
      </c>
      <c r="Q170" s="97">
        <f>SUMIF(B:B,Table1[[#This Row],[Namn]],E:E)</f>
        <v>0</v>
      </c>
      <c r="R170" s="97">
        <f>SUMIF(B:B,Table1[[#This Row],[Namn]],F:F)</f>
        <v>0</v>
      </c>
    </row>
    <row r="171" spans="1:18" x14ac:dyDescent="0.25">
      <c r="A171" s="97">
        <v>2021</v>
      </c>
      <c r="B171" s="98" t="s">
        <v>95</v>
      </c>
      <c r="C171" s="97">
        <v>3</v>
      </c>
      <c r="D171" s="99">
        <f>IFERROR(Table1[[#This Row],[MAT]]/Table1[[#This Row],[LAG MATCH]],"")</f>
        <v>0.27272727272727271</v>
      </c>
      <c r="E171" s="97">
        <v>0</v>
      </c>
      <c r="F171" s="97">
        <v>0</v>
      </c>
      <c r="G171" s="97">
        <v>0</v>
      </c>
      <c r="H171" s="97">
        <v>11</v>
      </c>
      <c r="I171" s="100">
        <f t="shared" si="8"/>
        <v>0</v>
      </c>
      <c r="J171" s="97">
        <f>Table1[[#This Row],[ÅR]]</f>
        <v>2021</v>
      </c>
      <c r="K171" s="97">
        <v>2005</v>
      </c>
      <c r="L171" s="97">
        <f>Table1[[#This Row],[ÅR]]-Table1[[#This Row],[FÖDD]]</f>
        <v>16</v>
      </c>
      <c r="M171" s="97">
        <v>2</v>
      </c>
      <c r="N171" s="97">
        <f>SUMIF(B:B,Table1[[#This Row],[Namn]],C:C)</f>
        <v>3</v>
      </c>
      <c r="O171" s="97">
        <f>COUNTIF(B:B,Table1[[#This Row],[Namn]])</f>
        <v>1</v>
      </c>
      <c r="P171" s="97">
        <f>SUMIF(B:B,Table1[[#This Row],[Namn]],G:G)</f>
        <v>0</v>
      </c>
      <c r="Q171" s="97">
        <f>SUMIF(B:B,Table1[[#This Row],[Namn]],E:E)</f>
        <v>0</v>
      </c>
      <c r="R171" s="97">
        <f>SUMIF(B:B,Table1[[#This Row],[Namn]],F:F)</f>
        <v>0</v>
      </c>
    </row>
    <row r="172" spans="1:18" x14ac:dyDescent="0.25">
      <c r="A172" s="97">
        <v>2021</v>
      </c>
      <c r="B172" s="98" t="s">
        <v>81</v>
      </c>
      <c r="C172" s="97">
        <v>3</v>
      </c>
      <c r="D172" s="99">
        <f>IFERROR(Table1[[#This Row],[MAT]]/Table1[[#This Row],[LAG MATCH]],"")</f>
        <v>0.27272727272727271</v>
      </c>
      <c r="E172" s="97">
        <v>0</v>
      </c>
      <c r="F172" s="97">
        <v>0</v>
      </c>
      <c r="G172" s="97">
        <v>0</v>
      </c>
      <c r="H172" s="97">
        <v>11</v>
      </c>
      <c r="I172" s="100">
        <f t="shared" si="8"/>
        <v>0</v>
      </c>
      <c r="J172" s="97">
        <f>Table1[[#This Row],[ÅR]]</f>
        <v>2021</v>
      </c>
      <c r="K172" s="97">
        <v>2004</v>
      </c>
      <c r="L172" s="97">
        <f>Table1[[#This Row],[ÅR]]-Table1[[#This Row],[FÖDD]]</f>
        <v>17</v>
      </c>
      <c r="M172" s="97">
        <v>2</v>
      </c>
      <c r="N172" s="97">
        <f>SUMIF(B:B,Table1[[#This Row],[Namn]],C:C)</f>
        <v>30</v>
      </c>
      <c r="O172" s="97">
        <f>COUNTIF(B:B,Table1[[#This Row],[Namn]])</f>
        <v>2</v>
      </c>
      <c r="P172" s="97">
        <f>SUMIF(B:B,Table1[[#This Row],[Namn]],G:G)</f>
        <v>1</v>
      </c>
      <c r="Q172" s="97">
        <f>SUMIF(B:B,Table1[[#This Row],[Namn]],E:E)</f>
        <v>2</v>
      </c>
      <c r="R172" s="97">
        <f>SUMIF(B:B,Table1[[#This Row],[Namn]],F:F)</f>
        <v>0</v>
      </c>
    </row>
    <row r="173" spans="1:18" x14ac:dyDescent="0.25">
      <c r="A173" s="97">
        <v>2021</v>
      </c>
      <c r="B173" s="98" t="s">
        <v>96</v>
      </c>
      <c r="C173" s="97">
        <v>3</v>
      </c>
      <c r="D173" s="99">
        <f>IFERROR(Table1[[#This Row],[MAT]]/Table1[[#This Row],[LAG MATCH]],"")</f>
        <v>0.27272727272727271</v>
      </c>
      <c r="E173" s="97">
        <v>0</v>
      </c>
      <c r="F173" s="97">
        <v>0</v>
      </c>
      <c r="G173" s="97">
        <v>0</v>
      </c>
      <c r="H173" s="97">
        <v>11</v>
      </c>
      <c r="I173" s="100">
        <f t="shared" si="8"/>
        <v>0</v>
      </c>
      <c r="J173" s="97">
        <f>Table1[[#This Row],[ÅR]]</f>
        <v>2021</v>
      </c>
      <c r="K173" s="97">
        <v>2001</v>
      </c>
      <c r="L173" s="97">
        <f>Table1[[#This Row],[ÅR]]-Table1[[#This Row],[FÖDD]]</f>
        <v>20</v>
      </c>
      <c r="M173" s="97">
        <v>2</v>
      </c>
      <c r="N173" s="97">
        <f>SUMIF(B:B,Table1[[#This Row],[Namn]],C:C)</f>
        <v>5</v>
      </c>
      <c r="O173" s="97">
        <f>COUNTIF(B:B,Table1[[#This Row],[Namn]])</f>
        <v>3</v>
      </c>
      <c r="P173" s="97">
        <f>SUMIF(B:B,Table1[[#This Row],[Namn]],G:G)</f>
        <v>0</v>
      </c>
      <c r="Q173" s="97">
        <f>SUMIF(B:B,Table1[[#This Row],[Namn]],E:E)</f>
        <v>0</v>
      </c>
      <c r="R173" s="97">
        <f>SUMIF(B:B,Table1[[#This Row],[Namn]],F:F)</f>
        <v>0</v>
      </c>
    </row>
    <row r="174" spans="1:18" x14ac:dyDescent="0.25">
      <c r="A174" s="97">
        <v>2021</v>
      </c>
      <c r="B174" s="98" t="s">
        <v>64</v>
      </c>
      <c r="C174" s="97">
        <v>2</v>
      </c>
      <c r="D174" s="99">
        <f>IFERROR(Table1[[#This Row],[MAT]]/Table1[[#This Row],[LAG MATCH]],"")</f>
        <v>0.18181818181818182</v>
      </c>
      <c r="E174" s="97">
        <v>0</v>
      </c>
      <c r="F174" s="97">
        <v>0</v>
      </c>
      <c r="G174" s="97">
        <v>1</v>
      </c>
      <c r="H174" s="97">
        <v>11</v>
      </c>
      <c r="I174" s="100">
        <f t="shared" si="8"/>
        <v>0.5</v>
      </c>
      <c r="J174" s="97">
        <f>Table1[[#This Row],[ÅR]]</f>
        <v>2021</v>
      </c>
      <c r="K174" s="97">
        <v>2001</v>
      </c>
      <c r="L174" s="97">
        <f>Table1[[#This Row],[ÅR]]-Table1[[#This Row],[FÖDD]]</f>
        <v>20</v>
      </c>
      <c r="M174" s="97">
        <v>2</v>
      </c>
      <c r="N174" s="97">
        <f>SUMIF(B:B,Table1[[#This Row],[Namn]],C:C)</f>
        <v>48</v>
      </c>
      <c r="O174" s="97">
        <f>COUNTIF(B:B,Table1[[#This Row],[Namn]])</f>
        <v>8</v>
      </c>
      <c r="P174" s="97">
        <f>SUMIF(B:B,Table1[[#This Row],[Namn]],G:G)</f>
        <v>14</v>
      </c>
      <c r="Q174" s="97">
        <f>SUMIF(B:B,Table1[[#This Row],[Namn]],E:E)</f>
        <v>1</v>
      </c>
      <c r="R174" s="97">
        <f>SUMIF(B:B,Table1[[#This Row],[Namn]],F:F)</f>
        <v>0</v>
      </c>
    </row>
    <row r="175" spans="1:18" x14ac:dyDescent="0.25">
      <c r="A175" s="97">
        <v>2021</v>
      </c>
      <c r="B175" s="98" t="s">
        <v>41</v>
      </c>
      <c r="C175" s="97">
        <v>2</v>
      </c>
      <c r="D175" s="99">
        <f>IFERROR(Table1[[#This Row],[MAT]]/Table1[[#This Row],[LAG MATCH]],"")</f>
        <v>0.18181818181818182</v>
      </c>
      <c r="E175" s="97">
        <v>0</v>
      </c>
      <c r="F175" s="97">
        <v>0</v>
      </c>
      <c r="G175" s="97">
        <v>0</v>
      </c>
      <c r="H175" s="97">
        <v>11</v>
      </c>
      <c r="I175" s="100">
        <f t="shared" si="8"/>
        <v>0</v>
      </c>
      <c r="J175" s="97">
        <f>Table1[[#This Row],[ÅR]]</f>
        <v>2021</v>
      </c>
      <c r="K175" s="97">
        <v>2005</v>
      </c>
      <c r="L175" s="97">
        <f>Table1[[#This Row],[ÅR]]-Table1[[#This Row],[FÖDD]]</f>
        <v>16</v>
      </c>
      <c r="M175" s="97">
        <v>2</v>
      </c>
      <c r="N175" s="97">
        <f>SUMIF(B:B,Table1[[#This Row],[Namn]],C:C)</f>
        <v>10</v>
      </c>
      <c r="O175" s="97">
        <f>COUNTIF(B:B,Table1[[#This Row],[Namn]])</f>
        <v>5</v>
      </c>
      <c r="P175" s="97">
        <f>SUMIF(B:B,Table1[[#This Row],[Namn]],G:G)</f>
        <v>0</v>
      </c>
      <c r="Q175" s="97">
        <f>SUMIF(B:B,Table1[[#This Row],[Namn]],E:E)</f>
        <v>0</v>
      </c>
      <c r="R175" s="97">
        <f>SUMIF(B:B,Table1[[#This Row],[Namn]],F:F)</f>
        <v>0</v>
      </c>
    </row>
    <row r="176" spans="1:18" x14ac:dyDescent="0.25">
      <c r="A176" s="97">
        <v>2021</v>
      </c>
      <c r="B176" s="98" t="s">
        <v>90</v>
      </c>
      <c r="C176" s="97">
        <v>2</v>
      </c>
      <c r="D176" s="99">
        <f>IFERROR(Table1[[#This Row],[MAT]]/Table1[[#This Row],[LAG MATCH]],"")</f>
        <v>0.18181818181818182</v>
      </c>
      <c r="E176" s="97">
        <v>0</v>
      </c>
      <c r="F176" s="97">
        <v>0</v>
      </c>
      <c r="G176" s="97">
        <v>0</v>
      </c>
      <c r="H176" s="97">
        <v>11</v>
      </c>
      <c r="I176" s="100">
        <f t="shared" si="8"/>
        <v>0</v>
      </c>
      <c r="J176" s="97">
        <f>Table1[[#This Row],[ÅR]]</f>
        <v>2021</v>
      </c>
      <c r="K176" s="97">
        <v>2004</v>
      </c>
      <c r="L176" s="97">
        <f>Table1[[#This Row],[ÅR]]-Table1[[#This Row],[FÖDD]]</f>
        <v>17</v>
      </c>
      <c r="M176" s="97">
        <v>2</v>
      </c>
      <c r="N176" s="97">
        <f>SUMIF(B:B,Table1[[#This Row],[Namn]],C:C)</f>
        <v>3</v>
      </c>
      <c r="O176" s="97">
        <f>COUNTIF(B:B,Table1[[#This Row],[Namn]])</f>
        <v>2</v>
      </c>
      <c r="P176" s="97">
        <f>SUMIF(B:B,Table1[[#This Row],[Namn]],G:G)</f>
        <v>0</v>
      </c>
      <c r="Q176" s="97">
        <f>SUMIF(B:B,Table1[[#This Row],[Namn]],E:E)</f>
        <v>0</v>
      </c>
      <c r="R176" s="97">
        <f>SUMIF(B:B,Table1[[#This Row],[Namn]],F:F)</f>
        <v>0</v>
      </c>
    </row>
    <row r="177" spans="1:18" x14ac:dyDescent="0.25">
      <c r="A177" s="97">
        <v>2021</v>
      </c>
      <c r="B177" s="98" t="s">
        <v>97</v>
      </c>
      <c r="C177" s="97">
        <v>2</v>
      </c>
      <c r="D177" s="99">
        <f>IFERROR(Table1[[#This Row],[MAT]]/Table1[[#This Row],[LAG MATCH]],"")</f>
        <v>0.18181818181818182</v>
      </c>
      <c r="E177" s="97">
        <v>0</v>
      </c>
      <c r="F177" s="97">
        <v>0</v>
      </c>
      <c r="G177" s="97">
        <v>0</v>
      </c>
      <c r="H177" s="97">
        <v>11</v>
      </c>
      <c r="I177" s="100">
        <f t="shared" si="8"/>
        <v>0</v>
      </c>
      <c r="J177" s="97">
        <f>Table1[[#This Row],[ÅR]]</f>
        <v>2021</v>
      </c>
      <c r="K177" s="97">
        <v>2001</v>
      </c>
      <c r="L177" s="97">
        <f>Table1[[#This Row],[ÅR]]-Table1[[#This Row],[FÖDD]]</f>
        <v>20</v>
      </c>
      <c r="M177" s="97">
        <v>2</v>
      </c>
      <c r="N177" s="97">
        <f>SUMIF(B:B,Table1[[#This Row],[Namn]],C:C)</f>
        <v>14</v>
      </c>
      <c r="O177" s="97">
        <f>COUNTIF(B:B,Table1[[#This Row],[Namn]])</f>
        <v>3</v>
      </c>
      <c r="P177" s="97">
        <f>SUMIF(B:B,Table1[[#This Row],[Namn]],G:G)</f>
        <v>1</v>
      </c>
      <c r="Q177" s="97">
        <f>SUMIF(B:B,Table1[[#This Row],[Namn]],E:E)</f>
        <v>0</v>
      </c>
      <c r="R177" s="97">
        <f>SUMIF(B:B,Table1[[#This Row],[Namn]],F:F)</f>
        <v>0</v>
      </c>
    </row>
    <row r="178" spans="1:18" x14ac:dyDescent="0.25">
      <c r="A178" s="97">
        <v>2021</v>
      </c>
      <c r="B178" s="98" t="s">
        <v>98</v>
      </c>
      <c r="C178" s="97">
        <v>1</v>
      </c>
      <c r="D178" s="99">
        <f>IFERROR(Table1[[#This Row],[MAT]]/Table1[[#This Row],[LAG MATCH]],"")</f>
        <v>9.0909090909090912E-2</v>
      </c>
      <c r="E178" s="97">
        <v>0</v>
      </c>
      <c r="F178" s="97">
        <v>0</v>
      </c>
      <c r="G178" s="97">
        <v>0</v>
      </c>
      <c r="H178" s="97">
        <v>11</v>
      </c>
      <c r="I178" s="100">
        <f t="shared" si="8"/>
        <v>0</v>
      </c>
      <c r="J178" s="97">
        <f>Table1[[#This Row],[ÅR]]</f>
        <v>2021</v>
      </c>
      <c r="K178" s="97">
        <v>1997</v>
      </c>
      <c r="L178" s="97">
        <f>Table1[[#This Row],[ÅR]]-Table1[[#This Row],[FÖDD]]</f>
        <v>24</v>
      </c>
      <c r="M178" s="97">
        <v>2</v>
      </c>
      <c r="N178" s="97">
        <f>SUMIF(B:B,Table1[[#This Row],[Namn]],C:C)</f>
        <v>1</v>
      </c>
      <c r="O178" s="97">
        <f>COUNTIF(B:B,Table1[[#This Row],[Namn]])</f>
        <v>1</v>
      </c>
      <c r="P178" s="97">
        <f>SUMIF(B:B,Table1[[#This Row],[Namn]],G:G)</f>
        <v>0</v>
      </c>
      <c r="Q178" s="97">
        <f>SUMIF(B:B,Table1[[#This Row],[Namn]],E:E)</f>
        <v>0</v>
      </c>
      <c r="R178" s="97">
        <f>SUMIF(B:B,Table1[[#This Row],[Namn]],F:F)</f>
        <v>0</v>
      </c>
    </row>
    <row r="179" spans="1:18" x14ac:dyDescent="0.25">
      <c r="A179" s="97">
        <v>2020</v>
      </c>
      <c r="B179" s="98" t="s">
        <v>56</v>
      </c>
      <c r="C179" s="97">
        <v>10</v>
      </c>
      <c r="D179" s="99">
        <f>IFERROR(Table1[[#This Row],[MAT]]/Table1[[#This Row],[LAG MATCH]],"")</f>
        <v>1</v>
      </c>
      <c r="E179" s="97">
        <v>2</v>
      </c>
      <c r="F179" s="97">
        <v>0</v>
      </c>
      <c r="G179" s="97">
        <v>1</v>
      </c>
      <c r="H179" s="97">
        <v>10</v>
      </c>
      <c r="I179" s="100">
        <f t="shared" si="8"/>
        <v>0.1</v>
      </c>
      <c r="J179" s="97">
        <f>Table1[[#This Row],[ÅR]]</f>
        <v>2020</v>
      </c>
      <c r="K179" s="97">
        <v>2002</v>
      </c>
      <c r="L179" s="97">
        <f>Table1[[#This Row],[ÅR]]-Table1[[#This Row],[FÖDD]]</f>
        <v>18</v>
      </c>
      <c r="M179" s="97">
        <v>1</v>
      </c>
      <c r="N179" s="97">
        <f>SUMIF(B:B,Table1[[#This Row],[Namn]],C:C)</f>
        <v>151</v>
      </c>
      <c r="O179" s="97">
        <f>COUNTIF(B:B,Table1[[#This Row],[Namn]])</f>
        <v>8</v>
      </c>
      <c r="P179" s="97">
        <f>SUMIF(B:B,Table1[[#This Row],[Namn]],G:G)</f>
        <v>29</v>
      </c>
      <c r="Q179" s="97">
        <f>SUMIF(B:B,Table1[[#This Row],[Namn]],E:E)</f>
        <v>9</v>
      </c>
      <c r="R179" s="97">
        <f>SUMIF(B:B,Table1[[#This Row],[Namn]],F:F)</f>
        <v>0</v>
      </c>
    </row>
    <row r="180" spans="1:18" x14ac:dyDescent="0.25">
      <c r="A180" s="97">
        <v>2020</v>
      </c>
      <c r="B180" s="98" t="s">
        <v>99</v>
      </c>
      <c r="C180" s="97">
        <v>10</v>
      </c>
      <c r="D180" s="99">
        <f>IFERROR(Table1[[#This Row],[MAT]]/Table1[[#This Row],[LAG MATCH]],"")</f>
        <v>1</v>
      </c>
      <c r="E180" s="97">
        <v>1</v>
      </c>
      <c r="F180" s="97">
        <v>0</v>
      </c>
      <c r="G180" s="97">
        <v>0</v>
      </c>
      <c r="H180" s="97">
        <v>10</v>
      </c>
      <c r="I180" s="100">
        <f t="shared" si="8"/>
        <v>0</v>
      </c>
      <c r="J180" s="97">
        <f>Table1[[#This Row],[ÅR]]</f>
        <v>2020</v>
      </c>
      <c r="K180" s="97">
        <v>1998</v>
      </c>
      <c r="L180" s="97">
        <f>Table1[[#This Row],[ÅR]]-Table1[[#This Row],[FÖDD]]</f>
        <v>22</v>
      </c>
      <c r="M180" s="97">
        <v>1</v>
      </c>
      <c r="N180" s="97">
        <f>SUMIF(B:B,Table1[[#This Row],[Namn]],C:C)</f>
        <v>36</v>
      </c>
      <c r="O180" s="97">
        <f>COUNTIF(B:B,Table1[[#This Row],[Namn]])</f>
        <v>2</v>
      </c>
      <c r="P180" s="97">
        <f>SUMIF(B:B,Table1[[#This Row],[Namn]],G:G)</f>
        <v>4</v>
      </c>
      <c r="Q180" s="97">
        <f>SUMIF(B:B,Table1[[#This Row],[Namn]],E:E)</f>
        <v>1</v>
      </c>
      <c r="R180" s="97">
        <f>SUMIF(B:B,Table1[[#This Row],[Namn]],F:F)</f>
        <v>0</v>
      </c>
    </row>
    <row r="181" spans="1:18" x14ac:dyDescent="0.25">
      <c r="A181" s="97">
        <v>2020</v>
      </c>
      <c r="B181" s="98" t="s">
        <v>70</v>
      </c>
      <c r="C181" s="97">
        <v>10</v>
      </c>
      <c r="D181" s="99">
        <f>IFERROR(Table1[[#This Row],[MAT]]/Table1[[#This Row],[LAG MATCH]],"")</f>
        <v>1</v>
      </c>
      <c r="E181" s="97">
        <v>1</v>
      </c>
      <c r="F181" s="97">
        <v>0</v>
      </c>
      <c r="G181" s="97">
        <v>0</v>
      </c>
      <c r="H181" s="97">
        <v>10</v>
      </c>
      <c r="I181" s="100">
        <f t="shared" si="8"/>
        <v>0</v>
      </c>
      <c r="J181" s="97">
        <f>Table1[[#This Row],[ÅR]]</f>
        <v>2020</v>
      </c>
      <c r="K181" s="97">
        <v>1997</v>
      </c>
      <c r="L181" s="97">
        <f>Table1[[#This Row],[ÅR]]-Table1[[#This Row],[FÖDD]]</f>
        <v>23</v>
      </c>
      <c r="M181" s="97">
        <v>1</v>
      </c>
      <c r="N181" s="97">
        <f>SUMIF(B:B,Table1[[#This Row],[Namn]],C:C)</f>
        <v>70</v>
      </c>
      <c r="O181" s="97">
        <f>COUNTIF(B:B,Table1[[#This Row],[Namn]])</f>
        <v>4</v>
      </c>
      <c r="P181" s="97">
        <f>SUMIF(B:B,Table1[[#This Row],[Namn]],G:G)</f>
        <v>38</v>
      </c>
      <c r="Q181" s="97">
        <f>SUMIF(B:B,Table1[[#This Row],[Namn]],E:E)</f>
        <v>2</v>
      </c>
      <c r="R181" s="97">
        <f>SUMIF(B:B,Table1[[#This Row],[Namn]],F:F)</f>
        <v>0</v>
      </c>
    </row>
    <row r="182" spans="1:18" x14ac:dyDescent="0.25">
      <c r="A182" s="97">
        <v>2020</v>
      </c>
      <c r="B182" s="98" t="s">
        <v>74</v>
      </c>
      <c r="C182" s="97">
        <v>10</v>
      </c>
      <c r="D182" s="99">
        <f>IFERROR(Table1[[#This Row],[MAT]]/Table1[[#This Row],[LAG MATCH]],"")</f>
        <v>1</v>
      </c>
      <c r="E182" s="97">
        <v>0</v>
      </c>
      <c r="F182" s="97">
        <v>0</v>
      </c>
      <c r="G182" s="97">
        <v>0</v>
      </c>
      <c r="H182" s="97">
        <v>10</v>
      </c>
      <c r="I182" s="100">
        <f t="shared" si="8"/>
        <v>0</v>
      </c>
      <c r="J182" s="97">
        <f>Table1[[#This Row],[ÅR]]</f>
        <v>2020</v>
      </c>
      <c r="K182" s="97">
        <v>1996</v>
      </c>
      <c r="L182" s="97">
        <f>Table1[[#This Row],[ÅR]]-Table1[[#This Row],[FÖDD]]</f>
        <v>24</v>
      </c>
      <c r="M182" s="97">
        <v>1</v>
      </c>
      <c r="N182" s="97">
        <f>SUMIF(B:B,Table1[[#This Row],[Namn]],C:C)</f>
        <v>200</v>
      </c>
      <c r="O182" s="97">
        <f>COUNTIF(B:B,Table1[[#This Row],[Namn]])</f>
        <v>12</v>
      </c>
      <c r="P182" s="97">
        <f>SUMIF(B:B,Table1[[#This Row],[Namn]],G:G)</f>
        <v>9</v>
      </c>
      <c r="Q182" s="97">
        <f>SUMIF(B:B,Table1[[#This Row],[Namn]],E:E)</f>
        <v>1</v>
      </c>
      <c r="R182" s="97">
        <f>SUMIF(B:B,Table1[[#This Row],[Namn]],F:F)</f>
        <v>0</v>
      </c>
    </row>
    <row r="183" spans="1:18" x14ac:dyDescent="0.25">
      <c r="A183" s="97">
        <v>2020</v>
      </c>
      <c r="B183" s="98" t="s">
        <v>83</v>
      </c>
      <c r="C183" s="97">
        <v>9</v>
      </c>
      <c r="D183" s="99">
        <f>IFERROR(Table1[[#This Row],[MAT]]/Table1[[#This Row],[LAG MATCH]],"")</f>
        <v>0.9</v>
      </c>
      <c r="E183" s="97">
        <v>0</v>
      </c>
      <c r="F183" s="97">
        <v>0</v>
      </c>
      <c r="G183" s="97">
        <v>6</v>
      </c>
      <c r="H183" s="97">
        <v>10</v>
      </c>
      <c r="I183" s="100">
        <f t="shared" si="8"/>
        <v>0.66666666666666663</v>
      </c>
      <c r="J183" s="97">
        <f>Table1[[#This Row],[ÅR]]</f>
        <v>2020</v>
      </c>
      <c r="K183" s="97">
        <v>1985</v>
      </c>
      <c r="L183" s="97">
        <f>Table1[[#This Row],[ÅR]]-Table1[[#This Row],[FÖDD]]</f>
        <v>35</v>
      </c>
      <c r="M183" s="97">
        <v>1</v>
      </c>
      <c r="N183" s="97">
        <f>SUMIF(B:B,Table1[[#This Row],[Namn]],C:C)</f>
        <v>56</v>
      </c>
      <c r="O183" s="97">
        <f>COUNTIF(B:B,Table1[[#This Row],[Namn]])</f>
        <v>3</v>
      </c>
      <c r="P183" s="97">
        <f>SUMIF(B:B,Table1[[#This Row],[Namn]],G:G)</f>
        <v>82</v>
      </c>
      <c r="Q183" s="97">
        <f>SUMIF(B:B,Table1[[#This Row],[Namn]],E:E)</f>
        <v>1</v>
      </c>
      <c r="R183" s="97">
        <f>SUMIF(B:B,Table1[[#This Row],[Namn]],F:F)</f>
        <v>0</v>
      </c>
    </row>
    <row r="184" spans="1:18" x14ac:dyDescent="0.25">
      <c r="A184" s="97">
        <v>2020</v>
      </c>
      <c r="B184" s="98" t="s">
        <v>82</v>
      </c>
      <c r="C184" s="97">
        <v>9</v>
      </c>
      <c r="D184" s="99">
        <f>IFERROR(Table1[[#This Row],[MAT]]/Table1[[#This Row],[LAG MATCH]],"")</f>
        <v>0.9</v>
      </c>
      <c r="E184" s="97">
        <v>1</v>
      </c>
      <c r="F184" s="97">
        <v>0</v>
      </c>
      <c r="G184" s="97">
        <v>0</v>
      </c>
      <c r="H184" s="97">
        <v>10</v>
      </c>
      <c r="I184" s="100">
        <f t="shared" si="8"/>
        <v>0</v>
      </c>
      <c r="J184" s="97">
        <f>Table1[[#This Row],[ÅR]]</f>
        <v>2020</v>
      </c>
      <c r="K184" s="97">
        <v>1995</v>
      </c>
      <c r="L184" s="97">
        <f>Table1[[#This Row],[ÅR]]-Table1[[#This Row],[FÖDD]]</f>
        <v>25</v>
      </c>
      <c r="M184" s="97">
        <v>1</v>
      </c>
      <c r="N184" s="97">
        <f>SUMIF(B:B,Table1[[#This Row],[Namn]],C:C)</f>
        <v>89</v>
      </c>
      <c r="O184" s="97">
        <f>COUNTIF(B:B,Table1[[#This Row],[Namn]])</f>
        <v>5</v>
      </c>
      <c r="P184" s="97">
        <f>SUMIF(B:B,Table1[[#This Row],[Namn]],G:G)</f>
        <v>9</v>
      </c>
      <c r="Q184" s="97">
        <f>SUMIF(B:B,Table1[[#This Row],[Namn]],E:E)</f>
        <v>4</v>
      </c>
      <c r="R184" s="97">
        <f>SUMIF(B:B,Table1[[#This Row],[Namn]],F:F)</f>
        <v>0</v>
      </c>
    </row>
    <row r="185" spans="1:18" x14ac:dyDescent="0.25">
      <c r="A185" s="97">
        <v>2020</v>
      </c>
      <c r="B185" s="98" t="s">
        <v>75</v>
      </c>
      <c r="C185" s="97">
        <v>9</v>
      </c>
      <c r="D185" s="99">
        <f>IFERROR(Table1[[#This Row],[MAT]]/Table1[[#This Row],[LAG MATCH]],"")</f>
        <v>0.9</v>
      </c>
      <c r="E185" s="97">
        <v>0</v>
      </c>
      <c r="F185" s="97">
        <v>0</v>
      </c>
      <c r="G185" s="97">
        <v>0</v>
      </c>
      <c r="H185" s="97">
        <v>10</v>
      </c>
      <c r="I185" s="100">
        <f t="shared" si="8"/>
        <v>0</v>
      </c>
      <c r="J185" s="97">
        <f>Table1[[#This Row],[ÅR]]</f>
        <v>2020</v>
      </c>
      <c r="K185" s="97">
        <v>1999</v>
      </c>
      <c r="L185" s="97">
        <f>Table1[[#This Row],[ÅR]]-Table1[[#This Row],[FÖDD]]</f>
        <v>21</v>
      </c>
      <c r="M185" s="97">
        <v>1</v>
      </c>
      <c r="N185" s="97">
        <f>SUMIF(B:B,Table1[[#This Row],[Namn]],C:C)</f>
        <v>30</v>
      </c>
      <c r="O185" s="97">
        <f>COUNTIF(B:B,Table1[[#This Row],[Namn]])</f>
        <v>3</v>
      </c>
      <c r="P185" s="97">
        <f>SUMIF(B:B,Table1[[#This Row],[Namn]],G:G)</f>
        <v>0</v>
      </c>
      <c r="Q185" s="97">
        <f>SUMIF(B:B,Table1[[#This Row],[Namn]],E:E)</f>
        <v>0</v>
      </c>
      <c r="R185" s="97">
        <f>SUMIF(B:B,Table1[[#This Row],[Namn]],F:F)</f>
        <v>0</v>
      </c>
    </row>
    <row r="186" spans="1:18" x14ac:dyDescent="0.25">
      <c r="A186" s="97">
        <v>2020</v>
      </c>
      <c r="B186" s="98" t="s">
        <v>69</v>
      </c>
      <c r="C186" s="97">
        <v>9</v>
      </c>
      <c r="D186" s="99">
        <f>IFERROR(Table1[[#This Row],[MAT]]/Table1[[#This Row],[LAG MATCH]],"")</f>
        <v>0.9</v>
      </c>
      <c r="E186" s="97">
        <v>0</v>
      </c>
      <c r="F186" s="97">
        <v>0</v>
      </c>
      <c r="G186" s="97">
        <v>0</v>
      </c>
      <c r="H186" s="97">
        <v>10</v>
      </c>
      <c r="I186" s="100">
        <f t="shared" si="8"/>
        <v>0</v>
      </c>
      <c r="J186" s="97">
        <v>2021</v>
      </c>
      <c r="K186" s="97">
        <v>1996</v>
      </c>
      <c r="L186" s="97">
        <f>Table1[[#This Row],[ÅR]]-Table1[[#This Row],[FÖDD]]</f>
        <v>24</v>
      </c>
      <c r="M186" s="97">
        <v>1</v>
      </c>
      <c r="N186" s="97">
        <f>SUMIF(B:B,Table1[[#This Row],[Namn]],C:C)</f>
        <v>105</v>
      </c>
      <c r="O186" s="97">
        <f>COUNTIF(B:B,Table1[[#This Row],[Namn]])</f>
        <v>6</v>
      </c>
      <c r="P186" s="97">
        <f>SUMIF(B:B,Table1[[#This Row],[Namn]],G:G)</f>
        <v>11</v>
      </c>
      <c r="Q186" s="97">
        <f>SUMIF(B:B,Table1[[#This Row],[Namn]],E:E)</f>
        <v>1</v>
      </c>
      <c r="R186" s="97">
        <f>SUMIF(B:B,Table1[[#This Row],[Namn]],F:F)</f>
        <v>0</v>
      </c>
    </row>
    <row r="187" spans="1:18" x14ac:dyDescent="0.25">
      <c r="A187" s="97">
        <v>2020</v>
      </c>
      <c r="B187" s="98" t="s">
        <v>89</v>
      </c>
      <c r="C187" s="97">
        <v>8</v>
      </c>
      <c r="D187" s="99">
        <f>IFERROR(Table1[[#This Row],[MAT]]/Table1[[#This Row],[LAG MATCH]],"")</f>
        <v>0.8</v>
      </c>
      <c r="E187" s="97">
        <v>0</v>
      </c>
      <c r="F187" s="97">
        <v>0</v>
      </c>
      <c r="G187" s="97">
        <v>0</v>
      </c>
      <c r="H187" s="97">
        <v>10</v>
      </c>
      <c r="I187" s="100">
        <f t="shared" si="8"/>
        <v>0</v>
      </c>
      <c r="J187" s="97">
        <f>Table1[[#This Row],[ÅR]]</f>
        <v>2020</v>
      </c>
      <c r="K187" s="97">
        <v>1991</v>
      </c>
      <c r="L187" s="97">
        <f>Table1[[#This Row],[ÅR]]-Table1[[#This Row],[FÖDD]]</f>
        <v>29</v>
      </c>
      <c r="M187" s="97">
        <v>1</v>
      </c>
      <c r="N187" s="97">
        <f>SUMIF(B:B,Table1[[#This Row],[Namn]],C:C)</f>
        <v>63</v>
      </c>
      <c r="O187" s="97">
        <f>COUNTIF(B:B,Table1[[#This Row],[Namn]])</f>
        <v>5</v>
      </c>
      <c r="P187" s="97">
        <f>SUMIF(B:B,Table1[[#This Row],[Namn]],G:G)</f>
        <v>11</v>
      </c>
      <c r="Q187" s="97">
        <f>SUMIF(B:B,Table1[[#This Row],[Namn]],E:E)</f>
        <v>0</v>
      </c>
      <c r="R187" s="97">
        <f>SUMIF(B:B,Table1[[#This Row],[Namn]],F:F)</f>
        <v>0</v>
      </c>
    </row>
    <row r="188" spans="1:18" x14ac:dyDescent="0.25">
      <c r="A188" s="97">
        <v>2020</v>
      </c>
      <c r="B188" s="98" t="s">
        <v>64</v>
      </c>
      <c r="C188" s="97">
        <v>7</v>
      </c>
      <c r="D188" s="99">
        <f>IFERROR(Table1[[#This Row],[MAT]]/Table1[[#This Row],[LAG MATCH]],"")</f>
        <v>0.7</v>
      </c>
      <c r="E188" s="97">
        <v>1</v>
      </c>
      <c r="F188" s="97">
        <v>0</v>
      </c>
      <c r="G188" s="97">
        <v>1</v>
      </c>
      <c r="H188" s="97">
        <v>10</v>
      </c>
      <c r="I188" s="100">
        <f t="shared" si="8"/>
        <v>0.14285714285714285</v>
      </c>
      <c r="J188" s="97">
        <f>Table1[[#This Row],[ÅR]]</f>
        <v>2020</v>
      </c>
      <c r="K188" s="97">
        <v>2001</v>
      </c>
      <c r="L188" s="97">
        <f>Table1[[#This Row],[ÅR]]-Table1[[#This Row],[FÖDD]]</f>
        <v>19</v>
      </c>
      <c r="M188" s="97">
        <v>1</v>
      </c>
      <c r="N188" s="97">
        <f>SUMIF(B:B,Table1[[#This Row],[Namn]],C:C)</f>
        <v>48</v>
      </c>
      <c r="O188" s="97">
        <f>COUNTIF(B:B,Table1[[#This Row],[Namn]])</f>
        <v>8</v>
      </c>
      <c r="P188" s="97">
        <f>SUMIF(B:B,Table1[[#This Row],[Namn]],G:G)</f>
        <v>14</v>
      </c>
      <c r="Q188" s="97">
        <f>SUMIF(B:B,Table1[[#This Row],[Namn]],E:E)</f>
        <v>1</v>
      </c>
      <c r="R188" s="97">
        <f>SUMIF(B:B,Table1[[#This Row],[Namn]],F:F)</f>
        <v>0</v>
      </c>
    </row>
    <row r="189" spans="1:18" x14ac:dyDescent="0.25">
      <c r="A189" s="97">
        <v>2020</v>
      </c>
      <c r="B189" s="98" t="s">
        <v>71</v>
      </c>
      <c r="C189" s="97">
        <v>7</v>
      </c>
      <c r="D189" s="99">
        <f>IFERROR(Table1[[#This Row],[MAT]]/Table1[[#This Row],[LAG MATCH]],"")</f>
        <v>0.7</v>
      </c>
      <c r="E189" s="97">
        <v>0</v>
      </c>
      <c r="F189" s="97">
        <v>0</v>
      </c>
      <c r="G189" s="97">
        <v>0</v>
      </c>
      <c r="H189" s="97">
        <v>10</v>
      </c>
      <c r="I189" s="100">
        <f t="shared" si="8"/>
        <v>0</v>
      </c>
      <c r="J189" s="97">
        <f>Table1[[#This Row],[ÅR]]</f>
        <v>2020</v>
      </c>
      <c r="K189" s="97">
        <v>2004</v>
      </c>
      <c r="L189" s="97">
        <f>Table1[[#This Row],[ÅR]]-Table1[[#This Row],[FÖDD]]</f>
        <v>16</v>
      </c>
      <c r="M189" s="97">
        <v>1</v>
      </c>
      <c r="N189" s="97">
        <f>SUMIF(B:B,Table1[[#This Row],[Namn]],C:C)</f>
        <v>71</v>
      </c>
      <c r="O189" s="97">
        <f>COUNTIF(B:B,Table1[[#This Row],[Namn]])</f>
        <v>5</v>
      </c>
      <c r="P189" s="97">
        <f>SUMIF(B:B,Table1[[#This Row],[Namn]],G:G)</f>
        <v>0</v>
      </c>
      <c r="Q189" s="97">
        <f>SUMIF(B:B,Table1[[#This Row],[Namn]],E:E)</f>
        <v>0</v>
      </c>
      <c r="R189" s="97">
        <f>SUMIF(B:B,Table1[[#This Row],[Namn]],F:F)</f>
        <v>0</v>
      </c>
    </row>
    <row r="190" spans="1:18" x14ac:dyDescent="0.25">
      <c r="A190" s="97">
        <v>2020</v>
      </c>
      <c r="B190" s="98" t="s">
        <v>100</v>
      </c>
      <c r="C190" s="97">
        <v>6</v>
      </c>
      <c r="D190" s="99">
        <f>IFERROR(Table1[[#This Row],[MAT]]/Table1[[#This Row],[LAG MATCH]],"")</f>
        <v>0.6</v>
      </c>
      <c r="E190" s="97">
        <v>1</v>
      </c>
      <c r="F190" s="97">
        <v>0</v>
      </c>
      <c r="G190" s="97">
        <v>0</v>
      </c>
      <c r="H190" s="97">
        <v>10</v>
      </c>
      <c r="I190" s="100">
        <f t="shared" si="8"/>
        <v>0</v>
      </c>
      <c r="J190" s="97">
        <f>Table1[[#This Row],[ÅR]]</f>
        <v>2020</v>
      </c>
      <c r="K190" s="97">
        <v>1998</v>
      </c>
      <c r="L190" s="97">
        <f>Table1[[#This Row],[ÅR]]-Table1[[#This Row],[FÖDD]]</f>
        <v>22</v>
      </c>
      <c r="M190" s="97">
        <v>1</v>
      </c>
      <c r="N190" s="97">
        <f>SUMIF(B:B,Table1[[#This Row],[Namn]],C:C)</f>
        <v>46</v>
      </c>
      <c r="O190" s="97">
        <f>COUNTIF(B:B,Table1[[#This Row],[Namn]])</f>
        <v>3</v>
      </c>
      <c r="P190" s="97">
        <f>SUMIF(B:B,Table1[[#This Row],[Namn]],G:G)</f>
        <v>3</v>
      </c>
      <c r="Q190" s="97">
        <f>SUMIF(B:B,Table1[[#This Row],[Namn]],E:E)</f>
        <v>5</v>
      </c>
      <c r="R190" s="97">
        <f>SUMIF(B:B,Table1[[#This Row],[Namn]],F:F)</f>
        <v>0</v>
      </c>
    </row>
    <row r="191" spans="1:18" x14ac:dyDescent="0.25">
      <c r="A191" s="97">
        <v>2020</v>
      </c>
      <c r="B191" s="98" t="s">
        <v>101</v>
      </c>
      <c r="C191" s="97">
        <v>6</v>
      </c>
      <c r="D191" s="99">
        <f>IFERROR(Table1[[#This Row],[MAT]]/Table1[[#This Row],[LAG MATCH]],"")</f>
        <v>0.6</v>
      </c>
      <c r="E191" s="97">
        <v>0</v>
      </c>
      <c r="F191" s="97">
        <v>0</v>
      </c>
      <c r="G191" s="97">
        <v>0</v>
      </c>
      <c r="H191" s="97">
        <v>10</v>
      </c>
      <c r="I191" s="100">
        <f t="shared" si="8"/>
        <v>0</v>
      </c>
      <c r="J191" s="97">
        <f>Table1[[#This Row],[ÅR]]</f>
        <v>2020</v>
      </c>
      <c r="K191" s="97">
        <v>1996</v>
      </c>
      <c r="L191" s="97">
        <f>Table1[[#This Row],[ÅR]]-Table1[[#This Row],[FÖDD]]</f>
        <v>24</v>
      </c>
      <c r="M191" s="97">
        <v>1</v>
      </c>
      <c r="N191" s="97">
        <f>SUMIF(B:B,Table1[[#This Row],[Namn]],C:C)</f>
        <v>121</v>
      </c>
      <c r="O191" s="97">
        <f>COUNTIF(B:B,Table1[[#This Row],[Namn]])</f>
        <v>9</v>
      </c>
      <c r="P191" s="97">
        <f>SUMIF(B:B,Table1[[#This Row],[Namn]],G:G)</f>
        <v>13</v>
      </c>
      <c r="Q191" s="97">
        <f>SUMIF(B:B,Table1[[#This Row],[Namn]],E:E)</f>
        <v>2</v>
      </c>
      <c r="R191" s="97">
        <f>SUMIF(B:B,Table1[[#This Row],[Namn]],F:F)</f>
        <v>1</v>
      </c>
    </row>
    <row r="192" spans="1:18" x14ac:dyDescent="0.25">
      <c r="A192" s="97">
        <v>2020</v>
      </c>
      <c r="B192" s="98" t="s">
        <v>59</v>
      </c>
      <c r="C192" s="97">
        <v>5</v>
      </c>
      <c r="D192" s="99">
        <f>IFERROR(Table1[[#This Row],[MAT]]/Table1[[#This Row],[LAG MATCH]],"")</f>
        <v>0.5</v>
      </c>
      <c r="E192" s="97">
        <v>0</v>
      </c>
      <c r="F192" s="97">
        <v>0</v>
      </c>
      <c r="G192" s="97">
        <v>0</v>
      </c>
      <c r="H192" s="97">
        <v>10</v>
      </c>
      <c r="I192" s="100">
        <f t="shared" si="8"/>
        <v>0</v>
      </c>
      <c r="J192" s="97">
        <f>Table1[[#This Row],[ÅR]]</f>
        <v>2020</v>
      </c>
      <c r="K192" s="97">
        <v>1989</v>
      </c>
      <c r="L192" s="97">
        <f>Table1[[#This Row],[ÅR]]-Table1[[#This Row],[FÖDD]]</f>
        <v>31</v>
      </c>
      <c r="M192" s="97">
        <v>1</v>
      </c>
      <c r="N192" s="97">
        <f>SUMIF(B:B,Table1[[#This Row],[Namn]],C:C)</f>
        <v>119</v>
      </c>
      <c r="O192" s="97">
        <f>COUNTIF(B:B,Table1[[#This Row],[Namn]])</f>
        <v>6</v>
      </c>
      <c r="P192" s="97">
        <f>SUMIF(B:B,Table1[[#This Row],[Namn]],G:G)</f>
        <v>6</v>
      </c>
      <c r="Q192" s="97">
        <f>SUMIF(B:B,Table1[[#This Row],[Namn]],E:E)</f>
        <v>3</v>
      </c>
      <c r="R192" s="97">
        <f>SUMIF(B:B,Table1[[#This Row],[Namn]],F:F)</f>
        <v>1</v>
      </c>
    </row>
    <row r="193" spans="1:18" x14ac:dyDescent="0.25">
      <c r="A193" s="97">
        <v>2020</v>
      </c>
      <c r="B193" s="98" t="s">
        <v>102</v>
      </c>
      <c r="C193" s="97">
        <v>4</v>
      </c>
      <c r="D193" s="99">
        <f>IFERROR(Table1[[#This Row],[MAT]]/Table1[[#This Row],[LAG MATCH]],"")</f>
        <v>0.4</v>
      </c>
      <c r="E193" s="97">
        <v>0</v>
      </c>
      <c r="F193" s="97">
        <v>0</v>
      </c>
      <c r="G193" s="97">
        <v>0</v>
      </c>
      <c r="H193" s="97">
        <v>10</v>
      </c>
      <c r="I193" s="100">
        <f t="shared" si="8"/>
        <v>0</v>
      </c>
      <c r="J193" s="97">
        <f>Table1[[#This Row],[ÅR]]</f>
        <v>2020</v>
      </c>
      <c r="K193" s="97">
        <v>2003</v>
      </c>
      <c r="L193" s="97">
        <f>Table1[[#This Row],[ÅR]]-Table1[[#This Row],[FÖDD]]</f>
        <v>17</v>
      </c>
      <c r="M193" s="97">
        <v>1</v>
      </c>
      <c r="N193" s="97">
        <f>SUMIF(B:B,Table1[[#This Row],[Namn]],C:C)</f>
        <v>16</v>
      </c>
      <c r="O193" s="97">
        <f>COUNTIF(B:B,Table1[[#This Row],[Namn]])</f>
        <v>3</v>
      </c>
      <c r="P193" s="97">
        <f>SUMIF(B:B,Table1[[#This Row],[Namn]],G:G)</f>
        <v>0</v>
      </c>
      <c r="Q193" s="97">
        <f>SUMIF(B:B,Table1[[#This Row],[Namn]],E:E)</f>
        <v>0</v>
      </c>
      <c r="R193" s="97">
        <f>SUMIF(B:B,Table1[[#This Row],[Namn]],F:F)</f>
        <v>0</v>
      </c>
    </row>
    <row r="194" spans="1:18" x14ac:dyDescent="0.25">
      <c r="A194" s="97">
        <v>2020</v>
      </c>
      <c r="B194" s="98" t="s">
        <v>94</v>
      </c>
      <c r="C194" s="97">
        <v>4</v>
      </c>
      <c r="D194" s="99">
        <f>IFERROR(Table1[[#This Row],[MAT]]/Table1[[#This Row],[LAG MATCH]],"")</f>
        <v>0.4</v>
      </c>
      <c r="E194" s="97">
        <v>0</v>
      </c>
      <c r="F194" s="97">
        <v>0</v>
      </c>
      <c r="G194" s="97">
        <v>0</v>
      </c>
      <c r="H194" s="97">
        <v>10</v>
      </c>
      <c r="I194" s="100">
        <f t="shared" si="8"/>
        <v>0</v>
      </c>
      <c r="J194" s="97">
        <f>Table1[[#This Row],[ÅR]]</f>
        <v>2020</v>
      </c>
      <c r="K194" s="97">
        <v>2001</v>
      </c>
      <c r="L194" s="97">
        <f>Table1[[#This Row],[ÅR]]-Table1[[#This Row],[FÖDD]]</f>
        <v>19</v>
      </c>
      <c r="M194" s="97">
        <v>1</v>
      </c>
      <c r="N194" s="97">
        <f>SUMIF(B:B,Table1[[#This Row],[Namn]],C:C)</f>
        <v>12</v>
      </c>
      <c r="O194" s="97">
        <f>COUNTIF(B:B,Table1[[#This Row],[Namn]])</f>
        <v>3</v>
      </c>
      <c r="P194" s="97">
        <f>SUMIF(B:B,Table1[[#This Row],[Namn]],G:G)</f>
        <v>0</v>
      </c>
      <c r="Q194" s="97">
        <f>SUMIF(B:B,Table1[[#This Row],[Namn]],E:E)</f>
        <v>0</v>
      </c>
      <c r="R194" s="97">
        <f>SUMIF(B:B,Table1[[#This Row],[Namn]],F:F)</f>
        <v>0</v>
      </c>
    </row>
    <row r="195" spans="1:18" x14ac:dyDescent="0.25">
      <c r="A195" s="97">
        <v>2020</v>
      </c>
      <c r="B195" s="98" t="s">
        <v>31</v>
      </c>
      <c r="C195" s="97">
        <v>4</v>
      </c>
      <c r="D195" s="99">
        <f>IFERROR(Table1[[#This Row],[MAT]]/Table1[[#This Row],[LAG MATCH]],"")</f>
        <v>0.4</v>
      </c>
      <c r="E195" s="97">
        <v>0</v>
      </c>
      <c r="F195" s="97">
        <v>0</v>
      </c>
      <c r="G195" s="97">
        <v>0</v>
      </c>
      <c r="H195" s="97">
        <v>10</v>
      </c>
      <c r="I195" s="100">
        <f t="shared" si="8"/>
        <v>0</v>
      </c>
      <c r="J195" s="97">
        <f>Table1[[#This Row],[ÅR]]</f>
        <v>2020</v>
      </c>
      <c r="K195" s="97">
        <v>1985</v>
      </c>
      <c r="L195" s="97">
        <f>Table1[[#This Row],[ÅR]]-Table1[[#This Row],[FÖDD]]</f>
        <v>35</v>
      </c>
      <c r="M195" s="97">
        <v>1</v>
      </c>
      <c r="N195" s="97">
        <f>SUMIF(B:B,Table1[[#This Row],[Namn]],C:C)</f>
        <v>25</v>
      </c>
      <c r="O195" s="97">
        <f>COUNTIF(B:B,Table1[[#This Row],[Namn]])</f>
        <v>3</v>
      </c>
      <c r="P195" s="97">
        <f>SUMIF(B:B,Table1[[#This Row],[Namn]],G:G)</f>
        <v>0</v>
      </c>
      <c r="Q195" s="97">
        <f>SUMIF(B:B,Table1[[#This Row],[Namn]],E:E)</f>
        <v>0</v>
      </c>
      <c r="R195" s="97">
        <f>SUMIF(B:B,Table1[[#This Row],[Namn]],F:F)</f>
        <v>0</v>
      </c>
    </row>
    <row r="196" spans="1:18" x14ac:dyDescent="0.25">
      <c r="A196" s="97">
        <v>2020</v>
      </c>
      <c r="B196" s="98" t="s">
        <v>79</v>
      </c>
      <c r="C196" s="97">
        <v>3</v>
      </c>
      <c r="D196" s="99">
        <f>IFERROR(Table1[[#This Row],[MAT]]/Table1[[#This Row],[LAG MATCH]],"")</f>
        <v>0.3</v>
      </c>
      <c r="E196" s="97">
        <v>0</v>
      </c>
      <c r="F196" s="97">
        <v>0</v>
      </c>
      <c r="G196" s="97">
        <v>0</v>
      </c>
      <c r="H196" s="97">
        <v>10</v>
      </c>
      <c r="I196" s="100">
        <f t="shared" si="8"/>
        <v>0</v>
      </c>
      <c r="J196" s="97">
        <f>Table1[[#This Row],[ÅR]]</f>
        <v>2020</v>
      </c>
      <c r="K196" s="97">
        <v>2004</v>
      </c>
      <c r="L196" s="97">
        <f>Table1[[#This Row],[ÅR]]-Table1[[#This Row],[FÖDD]]</f>
        <v>16</v>
      </c>
      <c r="M196" s="97">
        <v>1</v>
      </c>
      <c r="N196" s="97">
        <f>SUMIF(B:B,Table1[[#This Row],[Namn]],C:C)</f>
        <v>35</v>
      </c>
      <c r="O196" s="97">
        <f>COUNTIF(B:B,Table1[[#This Row],[Namn]])</f>
        <v>4</v>
      </c>
      <c r="P196" s="97">
        <f>SUMIF(B:B,Table1[[#This Row],[Namn]],G:G)</f>
        <v>1</v>
      </c>
      <c r="Q196" s="97">
        <f>SUMIF(B:B,Table1[[#This Row],[Namn]],E:E)</f>
        <v>0</v>
      </c>
      <c r="R196" s="97">
        <f>SUMIF(B:B,Table1[[#This Row],[Namn]],F:F)</f>
        <v>0</v>
      </c>
    </row>
    <row r="197" spans="1:18" x14ac:dyDescent="0.25">
      <c r="A197" s="97">
        <v>2020</v>
      </c>
      <c r="B197" s="98" t="s">
        <v>34</v>
      </c>
      <c r="C197" s="97">
        <v>2</v>
      </c>
      <c r="D197" s="99">
        <f>IFERROR(Table1[[#This Row],[MAT]]/Table1[[#This Row],[LAG MATCH]],"")</f>
        <v>0.2</v>
      </c>
      <c r="E197" s="97">
        <v>1</v>
      </c>
      <c r="F197" s="97">
        <v>0</v>
      </c>
      <c r="G197" s="97">
        <v>2</v>
      </c>
      <c r="H197" s="97">
        <v>10</v>
      </c>
      <c r="I197" s="100">
        <f t="shared" si="8"/>
        <v>1</v>
      </c>
      <c r="J197" s="97">
        <f>Table1[[#This Row],[ÅR]]</f>
        <v>2020</v>
      </c>
      <c r="K197" s="97">
        <v>1991</v>
      </c>
      <c r="L197" s="97">
        <f>Table1[[#This Row],[ÅR]]-Table1[[#This Row],[FÖDD]]</f>
        <v>29</v>
      </c>
      <c r="M197" s="97">
        <v>1</v>
      </c>
      <c r="N197" s="97">
        <f>SUMIF(B:B,Table1[[#This Row],[Namn]],C:C)</f>
        <v>138</v>
      </c>
      <c r="O197" s="97">
        <f>COUNTIF(B:B,Table1[[#This Row],[Namn]])</f>
        <v>9</v>
      </c>
      <c r="P197" s="97">
        <f>SUMIF(B:B,Table1[[#This Row],[Namn]],G:G)</f>
        <v>103</v>
      </c>
      <c r="Q197" s="97">
        <f>SUMIF(B:B,Table1[[#This Row],[Namn]],E:E)</f>
        <v>4</v>
      </c>
      <c r="R197" s="97">
        <f>SUMIF(B:B,Table1[[#This Row],[Namn]],F:F)</f>
        <v>0</v>
      </c>
    </row>
    <row r="198" spans="1:18" x14ac:dyDescent="0.25">
      <c r="A198" s="97">
        <v>2020</v>
      </c>
      <c r="B198" s="98" t="s">
        <v>38</v>
      </c>
      <c r="C198" s="97">
        <v>2</v>
      </c>
      <c r="D198" s="99">
        <f>IFERROR(Table1[[#This Row],[MAT]]/Table1[[#This Row],[LAG MATCH]],"")</f>
        <v>0.2</v>
      </c>
      <c r="E198" s="97">
        <v>0</v>
      </c>
      <c r="F198" s="97">
        <v>0</v>
      </c>
      <c r="G198" s="97">
        <v>0</v>
      </c>
      <c r="H198" s="97">
        <v>10</v>
      </c>
      <c r="I198" s="100">
        <f t="shared" si="8"/>
        <v>0</v>
      </c>
      <c r="J198" s="97">
        <f>Table1[[#This Row],[ÅR]]</f>
        <v>2020</v>
      </c>
      <c r="K198" s="97">
        <v>2006</v>
      </c>
      <c r="L198" s="97">
        <f>Table1[[#This Row],[ÅR]]-Table1[[#This Row],[FÖDD]]</f>
        <v>14</v>
      </c>
      <c r="M198" s="97">
        <v>1</v>
      </c>
      <c r="N198" s="97">
        <f>SUMIF(B:B,Table1[[#This Row],[Namn]],C:C)</f>
        <v>4</v>
      </c>
      <c r="O198" s="97">
        <f>COUNTIF(B:B,Table1[[#This Row],[Namn]])</f>
        <v>2</v>
      </c>
      <c r="P198" s="97">
        <f>SUMIF(B:B,Table1[[#This Row],[Namn]],G:G)</f>
        <v>0</v>
      </c>
      <c r="Q198" s="97">
        <f>SUMIF(B:B,Table1[[#This Row],[Namn]],E:E)</f>
        <v>1</v>
      </c>
      <c r="R198" s="97">
        <f>SUMIF(B:B,Table1[[#This Row],[Namn]],F:F)</f>
        <v>0</v>
      </c>
    </row>
    <row r="199" spans="1:18" x14ac:dyDescent="0.25">
      <c r="A199" s="97">
        <v>2020</v>
      </c>
      <c r="B199" s="98" t="s">
        <v>80</v>
      </c>
      <c r="C199" s="97">
        <v>2</v>
      </c>
      <c r="D199" s="99">
        <f>IFERROR(Table1[[#This Row],[MAT]]/Table1[[#This Row],[LAG MATCH]],"")</f>
        <v>0.2</v>
      </c>
      <c r="E199" s="97">
        <v>0</v>
      </c>
      <c r="F199" s="97">
        <v>0</v>
      </c>
      <c r="G199" s="97">
        <v>0</v>
      </c>
      <c r="H199" s="97">
        <v>10</v>
      </c>
      <c r="I199" s="100">
        <f t="shared" si="8"/>
        <v>0</v>
      </c>
      <c r="J199" s="97">
        <f>Table1[[#This Row],[ÅR]]</f>
        <v>2020</v>
      </c>
      <c r="K199" s="97">
        <v>2004</v>
      </c>
      <c r="L199" s="97">
        <f>Table1[[#This Row],[ÅR]]-Table1[[#This Row],[FÖDD]]</f>
        <v>16</v>
      </c>
      <c r="M199" s="97">
        <v>1</v>
      </c>
      <c r="N199" s="97">
        <f>SUMIF(B:B,Table1[[#This Row],[Namn]],C:C)</f>
        <v>50</v>
      </c>
      <c r="O199" s="97">
        <f>COUNTIF(B:B,Table1[[#This Row],[Namn]])</f>
        <v>5</v>
      </c>
      <c r="P199" s="97">
        <f>SUMIF(B:B,Table1[[#This Row],[Namn]],G:G)</f>
        <v>6</v>
      </c>
      <c r="Q199" s="97">
        <f>SUMIF(B:B,Table1[[#This Row],[Namn]],E:E)</f>
        <v>0</v>
      </c>
      <c r="R199" s="97">
        <f>SUMIF(B:B,Table1[[#This Row],[Namn]],F:F)</f>
        <v>0</v>
      </c>
    </row>
    <row r="200" spans="1:18" x14ac:dyDescent="0.25">
      <c r="A200" s="97">
        <v>2020</v>
      </c>
      <c r="B200" s="98" t="s">
        <v>103</v>
      </c>
      <c r="C200" s="97">
        <v>1</v>
      </c>
      <c r="D200" s="99">
        <f>IFERROR(Table1[[#This Row],[MAT]]/Table1[[#This Row],[LAG MATCH]],"")</f>
        <v>0.1</v>
      </c>
      <c r="E200" s="97">
        <v>0</v>
      </c>
      <c r="F200" s="97">
        <v>0</v>
      </c>
      <c r="G200" s="97">
        <v>0</v>
      </c>
      <c r="H200" s="97">
        <v>10</v>
      </c>
      <c r="I200" s="100">
        <f t="shared" si="8"/>
        <v>0</v>
      </c>
      <c r="J200" s="97">
        <f>Table1[[#This Row],[ÅR]]</f>
        <v>2020</v>
      </c>
      <c r="K200" s="97">
        <v>2005</v>
      </c>
      <c r="L200" s="97">
        <f>Table1[[#This Row],[ÅR]]-Table1[[#This Row],[FÖDD]]</f>
        <v>15</v>
      </c>
      <c r="M200" s="97">
        <v>1</v>
      </c>
      <c r="N200" s="97">
        <f>SUMIF(B:B,Table1[[#This Row],[Namn]],C:C)</f>
        <v>1</v>
      </c>
      <c r="O200" s="97">
        <f>COUNTIF(B:B,Table1[[#This Row],[Namn]])</f>
        <v>1</v>
      </c>
      <c r="P200" s="97">
        <f>SUMIF(B:B,Table1[[#This Row],[Namn]],G:G)</f>
        <v>0</v>
      </c>
      <c r="Q200" s="97">
        <f>SUMIF(B:B,Table1[[#This Row],[Namn]],E:E)</f>
        <v>0</v>
      </c>
      <c r="R200" s="97">
        <f>SUMIF(B:B,Table1[[#This Row],[Namn]],F:F)</f>
        <v>0</v>
      </c>
    </row>
    <row r="201" spans="1:18" x14ac:dyDescent="0.25">
      <c r="A201" s="97">
        <v>2020</v>
      </c>
      <c r="B201" s="98" t="s">
        <v>86</v>
      </c>
      <c r="C201" s="97">
        <v>1</v>
      </c>
      <c r="D201" s="99">
        <f>IFERROR(Table1[[#This Row],[MAT]]/Table1[[#This Row],[LAG MATCH]],"")</f>
        <v>0.1</v>
      </c>
      <c r="E201" s="97">
        <v>0</v>
      </c>
      <c r="F201" s="97">
        <v>0</v>
      </c>
      <c r="G201" s="97">
        <v>0</v>
      </c>
      <c r="H201" s="97">
        <v>10</v>
      </c>
      <c r="I201" s="100">
        <f t="shared" si="8"/>
        <v>0</v>
      </c>
      <c r="J201" s="97">
        <f>Table1[[#This Row],[ÅR]]</f>
        <v>2020</v>
      </c>
      <c r="K201" s="97">
        <v>2003</v>
      </c>
      <c r="L201" s="97">
        <f>Table1[[#This Row],[ÅR]]-Table1[[#This Row],[FÖDD]]</f>
        <v>17</v>
      </c>
      <c r="M201" s="97">
        <v>1</v>
      </c>
      <c r="N201" s="97">
        <f>SUMIF(B:B,Table1[[#This Row],[Namn]],C:C)</f>
        <v>27</v>
      </c>
      <c r="O201" s="97">
        <f>COUNTIF(B:B,Table1[[#This Row],[Namn]])</f>
        <v>5</v>
      </c>
      <c r="P201" s="97">
        <f>SUMIF(B:B,Table1[[#This Row],[Namn]],G:G)</f>
        <v>1</v>
      </c>
      <c r="Q201" s="97">
        <f>SUMIF(B:B,Table1[[#This Row],[Namn]],E:E)</f>
        <v>0</v>
      </c>
      <c r="R201" s="97">
        <f>SUMIF(B:B,Table1[[#This Row],[Namn]],F:F)</f>
        <v>0</v>
      </c>
    </row>
    <row r="202" spans="1:18" x14ac:dyDescent="0.25">
      <c r="A202" s="97">
        <v>2020</v>
      </c>
      <c r="B202" s="98" t="s">
        <v>104</v>
      </c>
      <c r="C202" s="97">
        <v>1</v>
      </c>
      <c r="D202" s="99">
        <f>IFERROR(Table1[[#This Row],[MAT]]/Table1[[#This Row],[LAG MATCH]],"")</f>
        <v>0.1</v>
      </c>
      <c r="E202" s="97">
        <v>0</v>
      </c>
      <c r="F202" s="97">
        <v>0</v>
      </c>
      <c r="G202" s="97">
        <v>0</v>
      </c>
      <c r="H202" s="97">
        <v>10</v>
      </c>
      <c r="I202" s="100">
        <f t="shared" si="8"/>
        <v>0</v>
      </c>
      <c r="J202" s="97">
        <f>Table1[[#This Row],[ÅR]]</f>
        <v>2020</v>
      </c>
      <c r="K202" s="97">
        <v>2001</v>
      </c>
      <c r="L202" s="97">
        <f>Table1[[#This Row],[ÅR]]-Table1[[#This Row],[FÖDD]]</f>
        <v>19</v>
      </c>
      <c r="M202" s="97">
        <v>1</v>
      </c>
      <c r="N202" s="97">
        <f>SUMIF(B:B,Table1[[#This Row],[Namn]],C:C)</f>
        <v>8</v>
      </c>
      <c r="O202" s="97">
        <f>COUNTIF(B:B,Table1[[#This Row],[Namn]])</f>
        <v>3</v>
      </c>
      <c r="P202" s="97">
        <f>SUMIF(B:B,Table1[[#This Row],[Namn]],G:G)</f>
        <v>0</v>
      </c>
      <c r="Q202" s="97">
        <f>SUMIF(B:B,Table1[[#This Row],[Namn]],E:E)</f>
        <v>0</v>
      </c>
      <c r="R202" s="97">
        <f>SUMIF(B:B,Table1[[#This Row],[Namn]],F:F)</f>
        <v>0</v>
      </c>
    </row>
    <row r="203" spans="1:18" x14ac:dyDescent="0.25">
      <c r="A203" s="97">
        <v>2020</v>
      </c>
      <c r="B203" s="98" t="s">
        <v>87</v>
      </c>
      <c r="C203" s="97">
        <v>1</v>
      </c>
      <c r="D203" s="99">
        <f>IFERROR(Table1[[#This Row],[MAT]]/Table1[[#This Row],[LAG MATCH]],"")</f>
        <v>0.1</v>
      </c>
      <c r="E203" s="97">
        <v>0</v>
      </c>
      <c r="F203" s="97">
        <v>0</v>
      </c>
      <c r="G203" s="97">
        <v>0</v>
      </c>
      <c r="H203" s="97">
        <v>10</v>
      </c>
      <c r="I203" s="100">
        <f t="shared" si="8"/>
        <v>0</v>
      </c>
      <c r="J203" s="97">
        <f>Table1[[#This Row],[ÅR]]</f>
        <v>2020</v>
      </c>
      <c r="K203" s="97">
        <v>1991</v>
      </c>
      <c r="L203" s="97">
        <f>Table1[[#This Row],[ÅR]]-Table1[[#This Row],[FÖDD]]</f>
        <v>29</v>
      </c>
      <c r="M203" s="97">
        <v>1</v>
      </c>
      <c r="N203" s="97">
        <f>SUMIF(B:B,Table1[[#This Row],[Namn]],C:C)</f>
        <v>7</v>
      </c>
      <c r="O203" s="97">
        <f>COUNTIF(B:B,Table1[[#This Row],[Namn]])</f>
        <v>3</v>
      </c>
      <c r="P203" s="97">
        <f>SUMIF(B:B,Table1[[#This Row],[Namn]],G:G)</f>
        <v>1</v>
      </c>
      <c r="Q203" s="97">
        <f>SUMIF(B:B,Table1[[#This Row],[Namn]],E:E)</f>
        <v>0</v>
      </c>
      <c r="R203" s="97">
        <f>SUMIF(B:B,Table1[[#This Row],[Namn]],F:F)</f>
        <v>0</v>
      </c>
    </row>
    <row r="204" spans="1:18" x14ac:dyDescent="0.25">
      <c r="A204" s="97">
        <v>2019</v>
      </c>
      <c r="B204" s="98" t="s">
        <v>99</v>
      </c>
      <c r="C204" s="97">
        <v>26</v>
      </c>
      <c r="D204" s="99">
        <f>IFERROR(Table1[[#This Row],[MAT]]/Table1[[#This Row],[LAG MATCH]],"")</f>
        <v>1</v>
      </c>
      <c r="E204" s="97">
        <v>0</v>
      </c>
      <c r="F204" s="97">
        <v>0</v>
      </c>
      <c r="G204" s="97">
        <v>4</v>
      </c>
      <c r="H204" s="97">
        <v>26</v>
      </c>
      <c r="I204" s="100">
        <f t="shared" si="8"/>
        <v>0.15384615384615385</v>
      </c>
      <c r="J204" s="97">
        <f>Table1[[#This Row],[ÅR]]</f>
        <v>2019</v>
      </c>
      <c r="K204" s="97">
        <v>1998</v>
      </c>
      <c r="L204" s="97">
        <f>Table1[[#This Row],[ÅR]]-Table1[[#This Row],[FÖDD]]</f>
        <v>21</v>
      </c>
      <c r="M204" s="97">
        <v>2</v>
      </c>
      <c r="N204" s="97">
        <f>SUMIF(B:B,Table1[[#This Row],[Namn]],C:C)</f>
        <v>36</v>
      </c>
      <c r="O204" s="97">
        <f>COUNTIF(B:B,Table1[[#This Row],[Namn]])</f>
        <v>2</v>
      </c>
      <c r="P204" s="97">
        <f>SUMIF(B:B,Table1[[#This Row],[Namn]],G:G)</f>
        <v>4</v>
      </c>
      <c r="Q204" s="97">
        <f>SUMIF(B:B,Table1[[#This Row],[Namn]],E:E)</f>
        <v>1</v>
      </c>
      <c r="R204" s="97">
        <f>SUMIF(B:B,Table1[[#This Row],[Namn]],F:F)</f>
        <v>0</v>
      </c>
    </row>
    <row r="205" spans="1:18" x14ac:dyDescent="0.25">
      <c r="A205" s="97">
        <v>2019</v>
      </c>
      <c r="B205" s="98" t="s">
        <v>100</v>
      </c>
      <c r="C205" s="97">
        <v>26</v>
      </c>
      <c r="D205" s="99">
        <f>IFERROR(Table1[[#This Row],[MAT]]/Table1[[#This Row],[LAG MATCH]],"")</f>
        <v>1</v>
      </c>
      <c r="E205" s="97">
        <v>2</v>
      </c>
      <c r="F205" s="97">
        <v>0</v>
      </c>
      <c r="G205" s="97">
        <v>1</v>
      </c>
      <c r="H205" s="97">
        <v>26</v>
      </c>
      <c r="I205" s="100">
        <f t="shared" si="8"/>
        <v>3.8461538461538464E-2</v>
      </c>
      <c r="J205" s="97">
        <f>Table1[[#This Row],[ÅR]]</f>
        <v>2019</v>
      </c>
      <c r="K205" s="97">
        <v>1998</v>
      </c>
      <c r="L205" s="97">
        <f>Table1[[#This Row],[ÅR]]-Table1[[#This Row],[FÖDD]]</f>
        <v>21</v>
      </c>
      <c r="M205" s="97">
        <v>2</v>
      </c>
      <c r="N205" s="97">
        <f>SUMIF(B:B,Table1[[#This Row],[Namn]],C:C)</f>
        <v>46</v>
      </c>
      <c r="O205" s="97">
        <f>COUNTIF(B:B,Table1[[#This Row],[Namn]])</f>
        <v>3</v>
      </c>
      <c r="P205" s="97">
        <f>SUMIF(B:B,Table1[[#This Row],[Namn]],G:G)</f>
        <v>3</v>
      </c>
      <c r="Q205" s="97">
        <f>SUMIF(B:B,Table1[[#This Row],[Namn]],E:E)</f>
        <v>5</v>
      </c>
      <c r="R205" s="97">
        <f>SUMIF(B:B,Table1[[#This Row],[Namn]],F:F)</f>
        <v>0</v>
      </c>
    </row>
    <row r="206" spans="1:18" x14ac:dyDescent="0.25">
      <c r="A206" s="97">
        <v>2019</v>
      </c>
      <c r="B206" s="98" t="s">
        <v>82</v>
      </c>
      <c r="C206" s="97">
        <v>26</v>
      </c>
      <c r="D206" s="99">
        <f>IFERROR(Table1[[#This Row],[MAT]]/Table1[[#This Row],[LAG MATCH]],"")</f>
        <v>1</v>
      </c>
      <c r="E206" s="97">
        <v>1</v>
      </c>
      <c r="F206" s="97">
        <v>0</v>
      </c>
      <c r="G206" s="97">
        <v>1</v>
      </c>
      <c r="H206" s="97">
        <v>26</v>
      </c>
      <c r="I206" s="100">
        <f t="shared" si="8"/>
        <v>3.8461538461538464E-2</v>
      </c>
      <c r="J206" s="97">
        <f>Table1[[#This Row],[ÅR]]</f>
        <v>2019</v>
      </c>
      <c r="K206" s="97">
        <v>1995</v>
      </c>
      <c r="L206" s="97">
        <f>Table1[[#This Row],[ÅR]]-Table1[[#This Row],[FÖDD]]</f>
        <v>24</v>
      </c>
      <c r="M206" s="97">
        <v>2</v>
      </c>
      <c r="N206" s="97">
        <f>SUMIF(B:B,Table1[[#This Row],[Namn]],C:C)</f>
        <v>89</v>
      </c>
      <c r="O206" s="97">
        <f>COUNTIF(B:B,Table1[[#This Row],[Namn]])</f>
        <v>5</v>
      </c>
      <c r="P206" s="97">
        <f>SUMIF(B:B,Table1[[#This Row],[Namn]],G:G)</f>
        <v>9</v>
      </c>
      <c r="Q206" s="97">
        <f>SUMIF(B:B,Table1[[#This Row],[Namn]],E:E)</f>
        <v>4</v>
      </c>
      <c r="R206" s="97">
        <f>SUMIF(B:B,Table1[[#This Row],[Namn]],F:F)</f>
        <v>0</v>
      </c>
    </row>
    <row r="207" spans="1:18" x14ac:dyDescent="0.25">
      <c r="A207" s="97">
        <v>2019</v>
      </c>
      <c r="B207" s="98" t="s">
        <v>34</v>
      </c>
      <c r="C207" s="97">
        <v>25</v>
      </c>
      <c r="D207" s="99">
        <f>IFERROR(Table1[[#This Row],[MAT]]/Table1[[#This Row],[LAG MATCH]],"")</f>
        <v>0.96153846153846156</v>
      </c>
      <c r="E207" s="97">
        <v>1</v>
      </c>
      <c r="F207" s="97">
        <v>0</v>
      </c>
      <c r="G207" s="97">
        <v>19</v>
      </c>
      <c r="H207" s="97">
        <v>26</v>
      </c>
      <c r="I207" s="100">
        <f t="shared" si="8"/>
        <v>0.76</v>
      </c>
      <c r="J207" s="97">
        <f>Table1[[#This Row],[ÅR]]</f>
        <v>2019</v>
      </c>
      <c r="K207" s="97">
        <v>1991</v>
      </c>
      <c r="L207" s="97">
        <f>Table1[[#This Row],[ÅR]]-Table1[[#This Row],[FÖDD]]</f>
        <v>28</v>
      </c>
      <c r="M207" s="97">
        <v>2</v>
      </c>
      <c r="N207" s="97">
        <f>SUMIF(B:B,Table1[[#This Row],[Namn]],C:C)</f>
        <v>138</v>
      </c>
      <c r="O207" s="97">
        <f>COUNTIF(B:B,Table1[[#This Row],[Namn]])</f>
        <v>9</v>
      </c>
      <c r="P207" s="97">
        <f>SUMIF(B:B,Table1[[#This Row],[Namn]],G:G)</f>
        <v>103</v>
      </c>
      <c r="Q207" s="97">
        <f>SUMIF(B:B,Table1[[#This Row],[Namn]],E:E)</f>
        <v>4</v>
      </c>
      <c r="R207" s="97">
        <f>SUMIF(B:B,Table1[[#This Row],[Namn]],F:F)</f>
        <v>0</v>
      </c>
    </row>
    <row r="208" spans="1:18" x14ac:dyDescent="0.25">
      <c r="A208" s="97">
        <v>2019</v>
      </c>
      <c r="B208" s="98" t="s">
        <v>56</v>
      </c>
      <c r="C208" s="97">
        <v>25</v>
      </c>
      <c r="D208" s="99">
        <f>IFERROR(Table1[[#This Row],[MAT]]/Table1[[#This Row],[LAG MATCH]],"")</f>
        <v>0.96153846153846156</v>
      </c>
      <c r="E208" s="97">
        <v>0</v>
      </c>
      <c r="F208" s="97">
        <v>0</v>
      </c>
      <c r="G208" s="97">
        <v>7</v>
      </c>
      <c r="H208" s="97">
        <v>26</v>
      </c>
      <c r="I208" s="100">
        <f t="shared" si="8"/>
        <v>0.28000000000000003</v>
      </c>
      <c r="J208" s="97">
        <f>Table1[[#This Row],[ÅR]]</f>
        <v>2019</v>
      </c>
      <c r="K208" s="97">
        <v>2002</v>
      </c>
      <c r="L208" s="97">
        <f>Table1[[#This Row],[ÅR]]-Table1[[#This Row],[FÖDD]]</f>
        <v>17</v>
      </c>
      <c r="M208" s="97">
        <v>2</v>
      </c>
      <c r="N208" s="97">
        <f>SUMIF(B:B,Table1[[#This Row],[Namn]],C:C)</f>
        <v>151</v>
      </c>
      <c r="O208" s="97">
        <f>COUNTIF(B:B,Table1[[#This Row],[Namn]])</f>
        <v>8</v>
      </c>
      <c r="P208" s="97">
        <f>SUMIF(B:B,Table1[[#This Row],[Namn]],G:G)</f>
        <v>29</v>
      </c>
      <c r="Q208" s="97">
        <f>SUMIF(B:B,Table1[[#This Row],[Namn]],E:E)</f>
        <v>9</v>
      </c>
      <c r="R208" s="97">
        <f>SUMIF(B:B,Table1[[#This Row],[Namn]],F:F)</f>
        <v>0</v>
      </c>
    </row>
    <row r="209" spans="1:18" x14ac:dyDescent="0.25">
      <c r="A209" s="97">
        <v>2019</v>
      </c>
      <c r="B209" s="98" t="s">
        <v>69</v>
      </c>
      <c r="C209" s="97">
        <v>25</v>
      </c>
      <c r="D209" s="99">
        <f>IFERROR(Table1[[#This Row],[MAT]]/Table1[[#This Row],[LAG MATCH]],"")</f>
        <v>0.96153846153846156</v>
      </c>
      <c r="E209" s="97">
        <v>0</v>
      </c>
      <c r="F209" s="97">
        <v>0</v>
      </c>
      <c r="G209" s="97">
        <v>7</v>
      </c>
      <c r="H209" s="97">
        <v>26</v>
      </c>
      <c r="I209" s="100">
        <f t="shared" si="8"/>
        <v>0.28000000000000003</v>
      </c>
      <c r="J209" s="97">
        <f>Table1[[#This Row],[ÅR]]</f>
        <v>2019</v>
      </c>
      <c r="K209" s="97">
        <v>1996</v>
      </c>
      <c r="L209" s="97">
        <f>Table1[[#This Row],[ÅR]]-Table1[[#This Row],[FÖDD]]</f>
        <v>23</v>
      </c>
      <c r="M209" s="97">
        <v>2</v>
      </c>
      <c r="N209" s="97">
        <f>SUMIF(B:B,Table1[[#This Row],[Namn]],C:C)</f>
        <v>105</v>
      </c>
      <c r="O209" s="97">
        <f>COUNTIF(B:B,Table1[[#This Row],[Namn]])</f>
        <v>6</v>
      </c>
      <c r="P209" s="97">
        <f>SUMIF(B:B,Table1[[#This Row],[Namn]],G:G)</f>
        <v>11</v>
      </c>
      <c r="Q209" s="97">
        <f>SUMIF(B:B,Table1[[#This Row],[Namn]],E:E)</f>
        <v>1</v>
      </c>
      <c r="R209" s="97">
        <f>SUMIF(B:B,Table1[[#This Row],[Namn]],F:F)</f>
        <v>0</v>
      </c>
    </row>
    <row r="210" spans="1:18" x14ac:dyDescent="0.25">
      <c r="A210" s="97">
        <v>2019</v>
      </c>
      <c r="B210" s="98" t="s">
        <v>74</v>
      </c>
      <c r="C210" s="97">
        <v>25</v>
      </c>
      <c r="D210" s="99">
        <f>IFERROR(Table1[[#This Row],[MAT]]/Table1[[#This Row],[LAG MATCH]],"")</f>
        <v>0.96153846153846156</v>
      </c>
      <c r="E210" s="97">
        <v>0</v>
      </c>
      <c r="F210" s="97">
        <v>0</v>
      </c>
      <c r="G210" s="97">
        <v>0</v>
      </c>
      <c r="H210" s="97">
        <v>26</v>
      </c>
      <c r="I210" s="100">
        <f t="shared" si="8"/>
        <v>0</v>
      </c>
      <c r="J210" s="97">
        <f>Table1[[#This Row],[ÅR]]</f>
        <v>2019</v>
      </c>
      <c r="K210" s="97">
        <v>1996</v>
      </c>
      <c r="L210" s="97">
        <f>Table1[[#This Row],[ÅR]]-Table1[[#This Row],[FÖDD]]</f>
        <v>23</v>
      </c>
      <c r="M210" s="97">
        <v>2</v>
      </c>
      <c r="N210" s="97">
        <f>SUMIF(B:B,Table1[[#This Row],[Namn]],C:C)</f>
        <v>200</v>
      </c>
      <c r="O210" s="97">
        <f>COUNTIF(B:B,Table1[[#This Row],[Namn]])</f>
        <v>12</v>
      </c>
      <c r="P210" s="97">
        <f>SUMIF(B:B,Table1[[#This Row],[Namn]],G:G)</f>
        <v>9</v>
      </c>
      <c r="Q210" s="97">
        <f>SUMIF(B:B,Table1[[#This Row],[Namn]],E:E)</f>
        <v>1</v>
      </c>
      <c r="R210" s="97">
        <f>SUMIF(B:B,Table1[[#This Row],[Namn]],F:F)</f>
        <v>0</v>
      </c>
    </row>
    <row r="211" spans="1:18" x14ac:dyDescent="0.25">
      <c r="A211" s="97">
        <v>2019</v>
      </c>
      <c r="B211" s="98" t="s">
        <v>59</v>
      </c>
      <c r="C211" s="97">
        <v>24</v>
      </c>
      <c r="D211" s="99">
        <f>IFERROR(Table1[[#This Row],[MAT]]/Table1[[#This Row],[LAG MATCH]],"")</f>
        <v>0.92307692307692313</v>
      </c>
      <c r="E211" s="97">
        <v>0</v>
      </c>
      <c r="F211" s="97">
        <v>0</v>
      </c>
      <c r="G211" s="97">
        <v>1</v>
      </c>
      <c r="H211" s="97">
        <v>26</v>
      </c>
      <c r="I211" s="100">
        <f t="shared" si="8"/>
        <v>4.1666666666666664E-2</v>
      </c>
      <c r="J211" s="97">
        <f>Table1[[#This Row],[ÅR]]</f>
        <v>2019</v>
      </c>
      <c r="K211" s="97">
        <v>1989</v>
      </c>
      <c r="L211" s="97">
        <f>Table1[[#This Row],[ÅR]]-Table1[[#This Row],[FÖDD]]</f>
        <v>30</v>
      </c>
      <c r="M211" s="97">
        <v>2</v>
      </c>
      <c r="N211" s="97">
        <f>SUMIF(B:B,Table1[[#This Row],[Namn]],C:C)</f>
        <v>119</v>
      </c>
      <c r="O211" s="97">
        <f>COUNTIF(B:B,Table1[[#This Row],[Namn]])</f>
        <v>6</v>
      </c>
      <c r="P211" s="97">
        <f>SUMIF(B:B,Table1[[#This Row],[Namn]],G:G)</f>
        <v>6</v>
      </c>
      <c r="Q211" s="97">
        <f>SUMIF(B:B,Table1[[#This Row],[Namn]],E:E)</f>
        <v>3</v>
      </c>
      <c r="R211" s="97">
        <f>SUMIF(B:B,Table1[[#This Row],[Namn]],F:F)</f>
        <v>1</v>
      </c>
    </row>
    <row r="212" spans="1:18" x14ac:dyDescent="0.25">
      <c r="A212" s="97">
        <v>2019</v>
      </c>
      <c r="B212" s="98" t="s">
        <v>83</v>
      </c>
      <c r="C212" s="97">
        <v>22</v>
      </c>
      <c r="D212" s="99">
        <f>IFERROR(Table1[[#This Row],[MAT]]/Table1[[#This Row],[LAG MATCH]],"")</f>
        <v>0.84615384615384615</v>
      </c>
      <c r="E212" s="97">
        <v>1</v>
      </c>
      <c r="F212" s="97">
        <v>0</v>
      </c>
      <c r="G212" s="97">
        <v>42</v>
      </c>
      <c r="H212" s="97">
        <v>26</v>
      </c>
      <c r="I212" s="100">
        <f t="shared" ref="I212:I275" si="9">IFERROR(G212/C212,"")</f>
        <v>1.9090909090909092</v>
      </c>
      <c r="J212" s="97">
        <f>Table1[[#This Row],[ÅR]]</f>
        <v>2019</v>
      </c>
      <c r="K212" s="97">
        <v>1985</v>
      </c>
      <c r="L212" s="97">
        <f>Table1[[#This Row],[ÅR]]-Table1[[#This Row],[FÖDD]]</f>
        <v>34</v>
      </c>
      <c r="M212" s="97">
        <v>2</v>
      </c>
      <c r="N212" s="97">
        <f>SUMIF(B:B,Table1[[#This Row],[Namn]],C:C)</f>
        <v>56</v>
      </c>
      <c r="O212" s="97">
        <f>COUNTIF(B:B,Table1[[#This Row],[Namn]])</f>
        <v>3</v>
      </c>
      <c r="P212" s="97">
        <f>SUMIF(B:B,Table1[[#This Row],[Namn]],G:G)</f>
        <v>82</v>
      </c>
      <c r="Q212" s="97">
        <f>SUMIF(B:B,Table1[[#This Row],[Namn]],E:E)</f>
        <v>1</v>
      </c>
      <c r="R212" s="97">
        <f>SUMIF(B:B,Table1[[#This Row],[Namn]],F:F)</f>
        <v>0</v>
      </c>
    </row>
    <row r="213" spans="1:18" x14ac:dyDescent="0.25">
      <c r="A213" s="97">
        <v>2019</v>
      </c>
      <c r="B213" s="98" t="s">
        <v>105</v>
      </c>
      <c r="C213" s="97">
        <v>22</v>
      </c>
      <c r="D213" s="99">
        <f>IFERROR(Table1[[#This Row],[MAT]]/Table1[[#This Row],[LAG MATCH]],"")</f>
        <v>0.84615384615384615</v>
      </c>
      <c r="E213" s="97">
        <v>4</v>
      </c>
      <c r="F213" s="97">
        <v>0</v>
      </c>
      <c r="G213" s="97">
        <v>13</v>
      </c>
      <c r="H213" s="97">
        <v>26</v>
      </c>
      <c r="I213" s="100">
        <f t="shared" si="9"/>
        <v>0.59090909090909094</v>
      </c>
      <c r="J213" s="97">
        <f>Table1[[#This Row],[ÅR]]</f>
        <v>2019</v>
      </c>
      <c r="K213" s="97">
        <v>1985</v>
      </c>
      <c r="L213" s="97">
        <f>Table1[[#This Row],[ÅR]]-Table1[[#This Row],[FÖDD]]</f>
        <v>34</v>
      </c>
      <c r="M213" s="97">
        <v>2</v>
      </c>
      <c r="N213" s="97">
        <f>SUMIF(B:B,Table1[[#This Row],[Namn]],C:C)</f>
        <v>48</v>
      </c>
      <c r="O213" s="97">
        <f>COUNTIF(B:B,Table1[[#This Row],[Namn]])</f>
        <v>3</v>
      </c>
      <c r="P213" s="97">
        <f>SUMIF(B:B,Table1[[#This Row],[Namn]],G:G)</f>
        <v>53</v>
      </c>
      <c r="Q213" s="97">
        <f>SUMIF(B:B,Table1[[#This Row],[Namn]],E:E)</f>
        <v>7</v>
      </c>
      <c r="R213" s="97">
        <f>SUMIF(B:B,Table1[[#This Row],[Namn]],F:F)</f>
        <v>0</v>
      </c>
    </row>
    <row r="214" spans="1:18" x14ac:dyDescent="0.25">
      <c r="A214" s="97">
        <v>2019</v>
      </c>
      <c r="B214" s="98" t="s">
        <v>89</v>
      </c>
      <c r="C214" s="97">
        <v>21</v>
      </c>
      <c r="D214" s="99">
        <f>IFERROR(Table1[[#This Row],[MAT]]/Table1[[#This Row],[LAG MATCH]],"")</f>
        <v>0.80769230769230771</v>
      </c>
      <c r="E214" s="97">
        <v>0</v>
      </c>
      <c r="F214" s="97">
        <v>0</v>
      </c>
      <c r="G214" s="97">
        <v>5</v>
      </c>
      <c r="H214" s="97">
        <v>26</v>
      </c>
      <c r="I214" s="100">
        <f t="shared" si="9"/>
        <v>0.23809523809523808</v>
      </c>
      <c r="J214" s="97">
        <f>Table1[[#This Row],[ÅR]]</f>
        <v>2019</v>
      </c>
      <c r="K214" s="97">
        <v>1991</v>
      </c>
      <c r="L214" s="97">
        <f>Table1[[#This Row],[ÅR]]-Table1[[#This Row],[FÖDD]]</f>
        <v>28</v>
      </c>
      <c r="M214" s="97">
        <v>2</v>
      </c>
      <c r="N214" s="97">
        <f>SUMIF(B:B,Table1[[#This Row],[Namn]],C:C)</f>
        <v>63</v>
      </c>
      <c r="O214" s="97">
        <f>COUNTIF(B:B,Table1[[#This Row],[Namn]])</f>
        <v>5</v>
      </c>
      <c r="P214" s="97">
        <f>SUMIF(B:B,Table1[[#This Row],[Namn]],G:G)</f>
        <v>11</v>
      </c>
      <c r="Q214" s="97">
        <f>SUMIF(B:B,Table1[[#This Row],[Namn]],E:E)</f>
        <v>0</v>
      </c>
      <c r="R214" s="97">
        <f>SUMIF(B:B,Table1[[#This Row],[Namn]],F:F)</f>
        <v>0</v>
      </c>
    </row>
    <row r="215" spans="1:18" x14ac:dyDescent="0.25">
      <c r="A215" s="97">
        <v>2019</v>
      </c>
      <c r="B215" s="98" t="s">
        <v>101</v>
      </c>
      <c r="C215" s="97">
        <v>21</v>
      </c>
      <c r="D215" s="99">
        <f>IFERROR(Table1[[#This Row],[MAT]]/Table1[[#This Row],[LAG MATCH]],"")</f>
        <v>0.80769230769230771</v>
      </c>
      <c r="E215" s="97">
        <v>0</v>
      </c>
      <c r="F215" s="97">
        <v>0</v>
      </c>
      <c r="G215" s="97">
        <v>0</v>
      </c>
      <c r="H215" s="97">
        <v>26</v>
      </c>
      <c r="I215" s="100">
        <f t="shared" si="9"/>
        <v>0</v>
      </c>
      <c r="J215" s="97">
        <f>Table1[[#This Row],[ÅR]]</f>
        <v>2019</v>
      </c>
      <c r="K215" s="97">
        <v>1996</v>
      </c>
      <c r="L215" s="97">
        <f>Table1[[#This Row],[ÅR]]-Table1[[#This Row],[FÖDD]]</f>
        <v>23</v>
      </c>
      <c r="M215" s="97">
        <v>2</v>
      </c>
      <c r="N215" s="97">
        <f>SUMIF(B:B,Table1[[#This Row],[Namn]],C:C)</f>
        <v>121</v>
      </c>
      <c r="O215" s="97">
        <f>COUNTIF(B:B,Table1[[#This Row],[Namn]])</f>
        <v>9</v>
      </c>
      <c r="P215" s="97">
        <f>SUMIF(B:B,Table1[[#This Row],[Namn]],G:G)</f>
        <v>13</v>
      </c>
      <c r="Q215" s="97">
        <f>SUMIF(B:B,Table1[[#This Row],[Namn]],E:E)</f>
        <v>2</v>
      </c>
      <c r="R215" s="97">
        <f>SUMIF(B:B,Table1[[#This Row],[Namn]],F:F)</f>
        <v>1</v>
      </c>
    </row>
    <row r="216" spans="1:18" x14ac:dyDescent="0.25">
      <c r="A216" s="97">
        <v>2019</v>
      </c>
      <c r="B216" s="98" t="s">
        <v>106</v>
      </c>
      <c r="C216" s="97">
        <v>19</v>
      </c>
      <c r="D216" s="99">
        <f>IFERROR(Table1[[#This Row],[MAT]]/Table1[[#This Row],[LAG MATCH]],"")</f>
        <v>0.73076923076923073</v>
      </c>
      <c r="E216" s="97">
        <v>0</v>
      </c>
      <c r="F216" s="97">
        <v>0</v>
      </c>
      <c r="G216" s="97">
        <v>8</v>
      </c>
      <c r="H216" s="97">
        <v>26</v>
      </c>
      <c r="I216" s="100">
        <f t="shared" si="9"/>
        <v>0.42105263157894735</v>
      </c>
      <c r="J216" s="97">
        <f>Table1[[#This Row],[ÅR]]</f>
        <v>2019</v>
      </c>
      <c r="K216" s="97">
        <v>1998</v>
      </c>
      <c r="L216" s="97">
        <f>Table1[[#This Row],[ÅR]]-Table1[[#This Row],[FÖDD]]</f>
        <v>21</v>
      </c>
      <c r="M216" s="97">
        <v>2</v>
      </c>
      <c r="N216" s="97">
        <f>SUMIF(B:B,Table1[[#This Row],[Namn]],C:C)</f>
        <v>19</v>
      </c>
      <c r="O216" s="97">
        <f>COUNTIF(B:B,Table1[[#This Row],[Namn]])</f>
        <v>1</v>
      </c>
      <c r="P216" s="97">
        <f>SUMIF(B:B,Table1[[#This Row],[Namn]],G:G)</f>
        <v>8</v>
      </c>
      <c r="Q216" s="97">
        <f>SUMIF(B:B,Table1[[#This Row],[Namn]],E:E)</f>
        <v>0</v>
      </c>
      <c r="R216" s="97">
        <f>SUMIF(B:B,Table1[[#This Row],[Namn]],F:F)</f>
        <v>0</v>
      </c>
    </row>
    <row r="217" spans="1:18" x14ac:dyDescent="0.25">
      <c r="A217" s="97">
        <v>2019</v>
      </c>
      <c r="B217" s="98" t="s">
        <v>107</v>
      </c>
      <c r="C217" s="97">
        <v>17</v>
      </c>
      <c r="D217" s="99">
        <f>IFERROR(Table1[[#This Row],[MAT]]/Table1[[#This Row],[LAG MATCH]],"")</f>
        <v>0.65384615384615385</v>
      </c>
      <c r="E217" s="97">
        <v>0</v>
      </c>
      <c r="F217" s="97">
        <v>0</v>
      </c>
      <c r="G217" s="97">
        <v>13</v>
      </c>
      <c r="H217" s="97">
        <v>26</v>
      </c>
      <c r="I217" s="100">
        <f t="shared" si="9"/>
        <v>0.76470588235294112</v>
      </c>
      <c r="J217" s="97">
        <f>Table1[[#This Row],[ÅR]]</f>
        <v>2019</v>
      </c>
      <c r="K217" s="97">
        <v>1990</v>
      </c>
      <c r="L217" s="97">
        <f>Table1[[#This Row],[ÅR]]-Table1[[#This Row],[FÖDD]]</f>
        <v>29</v>
      </c>
      <c r="M217" s="97">
        <v>2</v>
      </c>
      <c r="N217" s="97">
        <f>SUMIF(B:B,Table1[[#This Row],[Namn]],C:C)</f>
        <v>17</v>
      </c>
      <c r="O217" s="97">
        <f>COUNTIF(B:B,Table1[[#This Row],[Namn]])</f>
        <v>1</v>
      </c>
      <c r="P217" s="97">
        <f>SUMIF(B:B,Table1[[#This Row],[Namn]],G:G)</f>
        <v>13</v>
      </c>
      <c r="Q217" s="97">
        <f>SUMIF(B:B,Table1[[#This Row],[Namn]],E:E)</f>
        <v>0</v>
      </c>
      <c r="R217" s="97">
        <f>SUMIF(B:B,Table1[[#This Row],[Namn]],F:F)</f>
        <v>0</v>
      </c>
    </row>
    <row r="218" spans="1:18" x14ac:dyDescent="0.25">
      <c r="A218" s="97">
        <v>2019</v>
      </c>
      <c r="B218" s="98" t="s">
        <v>108</v>
      </c>
      <c r="C218" s="97">
        <v>17</v>
      </c>
      <c r="D218" s="99">
        <f>IFERROR(Table1[[#This Row],[MAT]]/Table1[[#This Row],[LAG MATCH]],"")</f>
        <v>0.65384615384615385</v>
      </c>
      <c r="E218" s="97">
        <v>1</v>
      </c>
      <c r="F218" s="97">
        <v>0</v>
      </c>
      <c r="G218" s="97">
        <v>0</v>
      </c>
      <c r="H218" s="97">
        <v>26</v>
      </c>
      <c r="I218" s="100">
        <f t="shared" si="9"/>
        <v>0</v>
      </c>
      <c r="J218" s="97">
        <f>Table1[[#This Row],[ÅR]]</f>
        <v>2019</v>
      </c>
      <c r="K218" s="97">
        <v>2000</v>
      </c>
      <c r="L218" s="97">
        <f>Table1[[#This Row],[ÅR]]-Table1[[#This Row],[FÖDD]]</f>
        <v>19</v>
      </c>
      <c r="M218" s="97">
        <v>2</v>
      </c>
      <c r="N218" s="97">
        <f>SUMIF(B:B,Table1[[#This Row],[Namn]],C:C)</f>
        <v>80</v>
      </c>
      <c r="O218" s="97">
        <f>COUNTIF(B:B,Table1[[#This Row],[Namn]])</f>
        <v>5</v>
      </c>
      <c r="P218" s="97">
        <f>SUMIF(B:B,Table1[[#This Row],[Namn]],G:G)</f>
        <v>0</v>
      </c>
      <c r="Q218" s="97">
        <f>SUMIF(B:B,Table1[[#This Row],[Namn]],E:E)</f>
        <v>1</v>
      </c>
      <c r="R218" s="97">
        <f>SUMIF(B:B,Table1[[#This Row],[Namn]],F:F)</f>
        <v>0</v>
      </c>
    </row>
    <row r="219" spans="1:18" x14ac:dyDescent="0.25">
      <c r="A219" s="97">
        <v>2019</v>
      </c>
      <c r="B219" s="98" t="s">
        <v>71</v>
      </c>
      <c r="C219" s="97">
        <v>10</v>
      </c>
      <c r="D219" s="99">
        <f>IFERROR(Table1[[#This Row],[MAT]]/Table1[[#This Row],[LAG MATCH]],"")</f>
        <v>0.38461538461538464</v>
      </c>
      <c r="E219" s="97">
        <v>0</v>
      </c>
      <c r="F219" s="97">
        <v>0</v>
      </c>
      <c r="G219" s="97">
        <v>0</v>
      </c>
      <c r="H219" s="97">
        <v>26</v>
      </c>
      <c r="I219" s="100">
        <f t="shared" si="9"/>
        <v>0</v>
      </c>
      <c r="J219" s="97">
        <f>Table1[[#This Row],[ÅR]]</f>
        <v>2019</v>
      </c>
      <c r="K219" s="97">
        <v>2004</v>
      </c>
      <c r="L219" s="97">
        <f>Table1[[#This Row],[ÅR]]-Table1[[#This Row],[FÖDD]]</f>
        <v>15</v>
      </c>
      <c r="M219" s="97">
        <v>2</v>
      </c>
      <c r="N219" s="97">
        <f>SUMIF(B:B,Table1[[#This Row],[Namn]],C:C)</f>
        <v>71</v>
      </c>
      <c r="O219" s="97">
        <f>COUNTIF(B:B,Table1[[#This Row],[Namn]])</f>
        <v>5</v>
      </c>
      <c r="P219" s="97">
        <f>SUMIF(B:B,Table1[[#This Row],[Namn]],G:G)</f>
        <v>0</v>
      </c>
      <c r="Q219" s="97">
        <f>SUMIF(B:B,Table1[[#This Row],[Namn]],E:E)</f>
        <v>0</v>
      </c>
      <c r="R219" s="97">
        <f>SUMIF(B:B,Table1[[#This Row],[Namn]],F:F)</f>
        <v>0</v>
      </c>
    </row>
    <row r="220" spans="1:18" x14ac:dyDescent="0.25">
      <c r="A220" s="97">
        <v>2019</v>
      </c>
      <c r="B220" s="98" t="s">
        <v>102</v>
      </c>
      <c r="C220" s="97">
        <v>9</v>
      </c>
      <c r="D220" s="99">
        <f>IFERROR(Table1[[#This Row],[MAT]]/Table1[[#This Row],[LAG MATCH]],"")</f>
        <v>0.34615384615384615</v>
      </c>
      <c r="E220" s="97">
        <v>0</v>
      </c>
      <c r="F220" s="97">
        <v>0</v>
      </c>
      <c r="G220" s="97">
        <v>0</v>
      </c>
      <c r="H220" s="97">
        <v>26</v>
      </c>
      <c r="I220" s="100">
        <f t="shared" si="9"/>
        <v>0</v>
      </c>
      <c r="J220" s="97">
        <f>Table1[[#This Row],[ÅR]]</f>
        <v>2019</v>
      </c>
      <c r="K220" s="97">
        <v>2003</v>
      </c>
      <c r="L220" s="97">
        <f>Table1[[#This Row],[ÅR]]-Table1[[#This Row],[FÖDD]]</f>
        <v>16</v>
      </c>
      <c r="M220" s="97">
        <v>2</v>
      </c>
      <c r="N220" s="97">
        <f>SUMIF(B:B,Table1[[#This Row],[Namn]],C:C)</f>
        <v>16</v>
      </c>
      <c r="O220" s="97">
        <f>COUNTIF(B:B,Table1[[#This Row],[Namn]])</f>
        <v>3</v>
      </c>
      <c r="P220" s="97">
        <f>SUMIF(B:B,Table1[[#This Row],[Namn]],G:G)</f>
        <v>0</v>
      </c>
      <c r="Q220" s="97">
        <f>SUMIF(B:B,Table1[[#This Row],[Namn]],E:E)</f>
        <v>0</v>
      </c>
      <c r="R220" s="97">
        <f>SUMIF(B:B,Table1[[#This Row],[Namn]],F:F)</f>
        <v>0</v>
      </c>
    </row>
    <row r="221" spans="1:18" x14ac:dyDescent="0.25">
      <c r="A221" s="97">
        <v>2019</v>
      </c>
      <c r="B221" s="98" t="s">
        <v>86</v>
      </c>
      <c r="C221" s="97">
        <v>8</v>
      </c>
      <c r="D221" s="99">
        <f>IFERROR(Table1[[#This Row],[MAT]]/Table1[[#This Row],[LAG MATCH]],"")</f>
        <v>0.30769230769230771</v>
      </c>
      <c r="E221" s="97">
        <v>0</v>
      </c>
      <c r="F221" s="97">
        <v>0</v>
      </c>
      <c r="G221" s="97">
        <v>1</v>
      </c>
      <c r="H221" s="97">
        <v>26</v>
      </c>
      <c r="I221" s="100">
        <f t="shared" si="9"/>
        <v>0.125</v>
      </c>
      <c r="J221" s="97">
        <f>Table1[[#This Row],[ÅR]]</f>
        <v>2019</v>
      </c>
      <c r="K221" s="97">
        <v>2003</v>
      </c>
      <c r="L221" s="97">
        <f>Table1[[#This Row],[ÅR]]-Table1[[#This Row],[FÖDD]]</f>
        <v>16</v>
      </c>
      <c r="M221" s="97">
        <v>2</v>
      </c>
      <c r="N221" s="97">
        <f>SUMIF(B:B,Table1[[#This Row],[Namn]],C:C)</f>
        <v>27</v>
      </c>
      <c r="O221" s="97">
        <f>COUNTIF(B:B,Table1[[#This Row],[Namn]])</f>
        <v>5</v>
      </c>
      <c r="P221" s="97">
        <f>SUMIF(B:B,Table1[[#This Row],[Namn]],G:G)</f>
        <v>1</v>
      </c>
      <c r="Q221" s="97">
        <f>SUMIF(B:B,Table1[[#This Row],[Namn]],E:E)</f>
        <v>0</v>
      </c>
      <c r="R221" s="97">
        <f>SUMIF(B:B,Table1[[#This Row],[Namn]],F:F)</f>
        <v>0</v>
      </c>
    </row>
    <row r="222" spans="1:18" x14ac:dyDescent="0.25">
      <c r="A222" s="97">
        <v>2019</v>
      </c>
      <c r="B222" s="98" t="s">
        <v>109</v>
      </c>
      <c r="C222" s="97">
        <v>7</v>
      </c>
      <c r="D222" s="99">
        <f>IFERROR(Table1[[#This Row],[MAT]]/Table1[[#This Row],[LAG MATCH]],"")</f>
        <v>0.26923076923076922</v>
      </c>
      <c r="E222" s="97">
        <v>0</v>
      </c>
      <c r="F222" s="97">
        <v>0</v>
      </c>
      <c r="G222" s="97">
        <v>0</v>
      </c>
      <c r="H222" s="97">
        <v>26</v>
      </c>
      <c r="I222" s="100">
        <f t="shared" si="9"/>
        <v>0</v>
      </c>
      <c r="J222" s="97">
        <f>Table1[[#This Row],[ÅR]]</f>
        <v>2019</v>
      </c>
      <c r="K222" s="97">
        <v>1989</v>
      </c>
      <c r="L222" s="97">
        <f>Table1[[#This Row],[ÅR]]-Table1[[#This Row],[FÖDD]]</f>
        <v>30</v>
      </c>
      <c r="M222" s="97">
        <v>2</v>
      </c>
      <c r="N222" s="97">
        <f>SUMIF(B:B,Table1[[#This Row],[Namn]],C:C)</f>
        <v>39</v>
      </c>
      <c r="O222" s="97">
        <f>COUNTIF(B:B,Table1[[#This Row],[Namn]])</f>
        <v>4</v>
      </c>
      <c r="P222" s="97">
        <f>SUMIF(B:B,Table1[[#This Row],[Namn]],G:G)</f>
        <v>1</v>
      </c>
      <c r="Q222" s="97">
        <f>SUMIF(B:B,Table1[[#This Row],[Namn]],E:E)</f>
        <v>1</v>
      </c>
      <c r="R222" s="97">
        <f>SUMIF(B:B,Table1[[#This Row],[Namn]],F:F)</f>
        <v>0</v>
      </c>
    </row>
    <row r="223" spans="1:18" x14ac:dyDescent="0.25">
      <c r="A223" s="97">
        <v>2019</v>
      </c>
      <c r="B223" s="98" t="s">
        <v>80</v>
      </c>
      <c r="C223" s="97">
        <v>6</v>
      </c>
      <c r="D223" s="99">
        <f>IFERROR(Table1[[#This Row],[MAT]]/Table1[[#This Row],[LAG MATCH]],"")</f>
        <v>0.23076923076923078</v>
      </c>
      <c r="E223" s="97">
        <v>0</v>
      </c>
      <c r="F223" s="97">
        <v>0</v>
      </c>
      <c r="G223" s="97">
        <v>0</v>
      </c>
      <c r="H223" s="97">
        <v>26</v>
      </c>
      <c r="I223" s="100">
        <f t="shared" si="9"/>
        <v>0</v>
      </c>
      <c r="J223" s="97">
        <f>Table1[[#This Row],[ÅR]]</f>
        <v>2019</v>
      </c>
      <c r="K223" s="97">
        <v>2004</v>
      </c>
      <c r="L223" s="97">
        <f>Table1[[#This Row],[ÅR]]-Table1[[#This Row],[FÖDD]]</f>
        <v>15</v>
      </c>
      <c r="M223" s="97">
        <v>2</v>
      </c>
      <c r="N223" s="97">
        <f>SUMIF(B:B,Table1[[#This Row],[Namn]],C:C)</f>
        <v>50</v>
      </c>
      <c r="O223" s="97">
        <f>COUNTIF(B:B,Table1[[#This Row],[Namn]])</f>
        <v>5</v>
      </c>
      <c r="P223" s="97">
        <f>SUMIF(B:B,Table1[[#This Row],[Namn]],G:G)</f>
        <v>6</v>
      </c>
      <c r="Q223" s="97">
        <f>SUMIF(B:B,Table1[[#This Row],[Namn]],E:E)</f>
        <v>0</v>
      </c>
      <c r="R223" s="97">
        <f>SUMIF(B:B,Table1[[#This Row],[Namn]],F:F)</f>
        <v>0</v>
      </c>
    </row>
    <row r="224" spans="1:18" x14ac:dyDescent="0.25">
      <c r="A224" s="97">
        <v>2019</v>
      </c>
      <c r="B224" s="98" t="s">
        <v>110</v>
      </c>
      <c r="C224" s="97">
        <v>2</v>
      </c>
      <c r="D224" s="99">
        <f>IFERROR(Table1[[#This Row],[MAT]]/Table1[[#This Row],[LAG MATCH]],"")</f>
        <v>7.6923076923076927E-2</v>
      </c>
      <c r="E224" s="97">
        <v>0</v>
      </c>
      <c r="F224" s="97">
        <v>0</v>
      </c>
      <c r="G224" s="97">
        <v>0</v>
      </c>
      <c r="H224" s="97">
        <v>26</v>
      </c>
      <c r="I224" s="100">
        <f t="shared" si="9"/>
        <v>0</v>
      </c>
      <c r="J224" s="97">
        <f>Table1[[#This Row],[ÅR]]</f>
        <v>2019</v>
      </c>
      <c r="K224" s="97">
        <v>1978</v>
      </c>
      <c r="L224" s="97">
        <f>Table1[[#This Row],[ÅR]]-Table1[[#This Row],[FÖDD]]</f>
        <v>41</v>
      </c>
      <c r="M224" s="97">
        <v>2</v>
      </c>
      <c r="N224" s="97">
        <f>SUMIF(B:B,Table1[[#This Row],[Namn]],C:C)</f>
        <v>2</v>
      </c>
      <c r="O224" s="97">
        <f>COUNTIF(B:B,Table1[[#This Row],[Namn]])</f>
        <v>1</v>
      </c>
      <c r="P224" s="97">
        <f>SUMIF(B:B,Table1[[#This Row],[Namn]],G:G)</f>
        <v>0</v>
      </c>
      <c r="Q224" s="97">
        <f>SUMIF(B:B,Table1[[#This Row],[Namn]],E:E)</f>
        <v>0</v>
      </c>
      <c r="R224" s="97">
        <f>SUMIF(B:B,Table1[[#This Row],[Namn]],F:F)</f>
        <v>0</v>
      </c>
    </row>
    <row r="225" spans="1:18" x14ac:dyDescent="0.25">
      <c r="A225" s="97">
        <v>2018</v>
      </c>
      <c r="B225" s="98" t="s">
        <v>105</v>
      </c>
      <c r="C225" s="97">
        <v>18</v>
      </c>
      <c r="D225" s="99">
        <f>IFERROR(Table1[[#This Row],[MAT]]/Table1[[#This Row],[LAG MATCH]],"")</f>
        <v>1</v>
      </c>
      <c r="E225" s="97">
        <v>2</v>
      </c>
      <c r="F225" s="97">
        <v>0</v>
      </c>
      <c r="G225" s="97">
        <v>30</v>
      </c>
      <c r="H225" s="97">
        <v>18</v>
      </c>
      <c r="I225" s="100">
        <f t="shared" si="9"/>
        <v>1.6666666666666667</v>
      </c>
      <c r="J225" s="97">
        <f>Table1[[#This Row],[ÅR]]</f>
        <v>2018</v>
      </c>
      <c r="K225" s="97">
        <v>1985</v>
      </c>
      <c r="L225" s="97">
        <f>Table1[[#This Row],[ÅR]]-Table1[[#This Row],[FÖDD]]</f>
        <v>33</v>
      </c>
      <c r="M225" s="97">
        <v>2</v>
      </c>
      <c r="N225" s="97">
        <f>SUMIF(B:B,Table1[[#This Row],[Namn]],C:C)</f>
        <v>48</v>
      </c>
      <c r="O225" s="97">
        <f>COUNTIF(B:B,Table1[[#This Row],[Namn]])</f>
        <v>3</v>
      </c>
      <c r="P225" s="97">
        <f>SUMIF(B:B,Table1[[#This Row],[Namn]],G:G)</f>
        <v>53</v>
      </c>
      <c r="Q225" s="97">
        <f>SUMIF(B:B,Table1[[#This Row],[Namn]],E:E)</f>
        <v>7</v>
      </c>
      <c r="R225" s="97">
        <f>SUMIF(B:B,Table1[[#This Row],[Namn]],F:F)</f>
        <v>0</v>
      </c>
    </row>
    <row r="226" spans="1:18" x14ac:dyDescent="0.25">
      <c r="A226" s="97">
        <v>2018</v>
      </c>
      <c r="B226" s="98" t="s">
        <v>34</v>
      </c>
      <c r="C226" s="97">
        <v>18</v>
      </c>
      <c r="D226" s="99">
        <f>IFERROR(Table1[[#This Row],[MAT]]/Table1[[#This Row],[LAG MATCH]],"")</f>
        <v>1</v>
      </c>
      <c r="E226" s="97">
        <v>0</v>
      </c>
      <c r="F226" s="97">
        <v>0</v>
      </c>
      <c r="G226" s="97">
        <v>10</v>
      </c>
      <c r="H226" s="97">
        <v>18</v>
      </c>
      <c r="I226" s="100">
        <f t="shared" si="9"/>
        <v>0.55555555555555558</v>
      </c>
      <c r="J226" s="97">
        <f>Table1[[#This Row],[ÅR]]</f>
        <v>2018</v>
      </c>
      <c r="K226" s="97">
        <v>1991</v>
      </c>
      <c r="L226" s="97">
        <f>Table1[[#This Row],[ÅR]]-Table1[[#This Row],[FÖDD]]</f>
        <v>27</v>
      </c>
      <c r="M226" s="97">
        <v>2</v>
      </c>
      <c r="N226" s="97">
        <f>SUMIF(B:B,Table1[[#This Row],[Namn]],C:C)</f>
        <v>138</v>
      </c>
      <c r="O226" s="97">
        <f>COUNTIF(B:B,Table1[[#This Row],[Namn]])</f>
        <v>9</v>
      </c>
      <c r="P226" s="97">
        <f>SUMIF(B:B,Table1[[#This Row],[Namn]],G:G)</f>
        <v>103</v>
      </c>
      <c r="Q226" s="97">
        <f>SUMIF(B:B,Table1[[#This Row],[Namn]],E:E)</f>
        <v>4</v>
      </c>
      <c r="R226" s="97">
        <f>SUMIF(B:B,Table1[[#This Row],[Namn]],F:F)</f>
        <v>0</v>
      </c>
    </row>
    <row r="227" spans="1:18" x14ac:dyDescent="0.25">
      <c r="A227" s="97">
        <v>2018</v>
      </c>
      <c r="B227" s="98" t="s">
        <v>89</v>
      </c>
      <c r="C227" s="97">
        <v>18</v>
      </c>
      <c r="D227" s="99">
        <f>IFERROR(Table1[[#This Row],[MAT]]/Table1[[#This Row],[LAG MATCH]],"")</f>
        <v>1</v>
      </c>
      <c r="E227" s="97">
        <v>0</v>
      </c>
      <c r="F227" s="97">
        <v>0</v>
      </c>
      <c r="G227" s="97">
        <v>3</v>
      </c>
      <c r="H227" s="97">
        <v>18</v>
      </c>
      <c r="I227" s="100">
        <f t="shared" si="9"/>
        <v>0.16666666666666666</v>
      </c>
      <c r="J227" s="97">
        <f>Table1[[#This Row],[ÅR]]</f>
        <v>2018</v>
      </c>
      <c r="K227" s="97">
        <v>1991</v>
      </c>
      <c r="L227" s="97">
        <f>Table1[[#This Row],[ÅR]]-Table1[[#This Row],[FÖDD]]</f>
        <v>27</v>
      </c>
      <c r="M227" s="97">
        <v>2</v>
      </c>
      <c r="N227" s="97">
        <f>SUMIF(B:B,Table1[[#This Row],[Namn]],C:C)</f>
        <v>63</v>
      </c>
      <c r="O227" s="97">
        <f>COUNTIF(B:B,Table1[[#This Row],[Namn]])</f>
        <v>5</v>
      </c>
      <c r="P227" s="97">
        <f>SUMIF(B:B,Table1[[#This Row],[Namn]],G:G)</f>
        <v>11</v>
      </c>
      <c r="Q227" s="97">
        <f>SUMIF(B:B,Table1[[#This Row],[Namn]],E:E)</f>
        <v>0</v>
      </c>
      <c r="R227" s="97">
        <f>SUMIF(B:B,Table1[[#This Row],[Namn]],F:F)</f>
        <v>0</v>
      </c>
    </row>
    <row r="228" spans="1:18" x14ac:dyDescent="0.25">
      <c r="A228" s="97">
        <v>2018</v>
      </c>
      <c r="B228" s="98" t="s">
        <v>56</v>
      </c>
      <c r="C228" s="97">
        <v>17</v>
      </c>
      <c r="D228" s="99">
        <f>IFERROR(Table1[[#This Row],[MAT]]/Table1[[#This Row],[LAG MATCH]],"")</f>
        <v>0.94444444444444442</v>
      </c>
      <c r="E228" s="97">
        <v>0</v>
      </c>
      <c r="F228" s="97">
        <v>0</v>
      </c>
      <c r="G228" s="97">
        <v>5</v>
      </c>
      <c r="H228" s="97">
        <v>18</v>
      </c>
      <c r="I228" s="100">
        <f t="shared" si="9"/>
        <v>0.29411764705882354</v>
      </c>
      <c r="J228" s="97">
        <f>Table1[[#This Row],[ÅR]]</f>
        <v>2018</v>
      </c>
      <c r="K228" s="97">
        <v>2002</v>
      </c>
      <c r="L228" s="97">
        <f>Table1[[#This Row],[ÅR]]-Table1[[#This Row],[FÖDD]]</f>
        <v>16</v>
      </c>
      <c r="M228" s="97">
        <v>2</v>
      </c>
      <c r="N228" s="97">
        <f>SUMIF(B:B,Table1[[#This Row],[Namn]],C:C)</f>
        <v>151</v>
      </c>
      <c r="O228" s="97">
        <f>COUNTIF(B:B,Table1[[#This Row],[Namn]])</f>
        <v>8</v>
      </c>
      <c r="P228" s="97">
        <f>SUMIF(B:B,Table1[[#This Row],[Namn]],G:G)</f>
        <v>29</v>
      </c>
      <c r="Q228" s="97">
        <f>SUMIF(B:B,Table1[[#This Row],[Namn]],E:E)</f>
        <v>9</v>
      </c>
      <c r="R228" s="97">
        <f>SUMIF(B:B,Table1[[#This Row],[Namn]],F:F)</f>
        <v>0</v>
      </c>
    </row>
    <row r="229" spans="1:18" x14ac:dyDescent="0.25">
      <c r="A229" s="97">
        <v>2018</v>
      </c>
      <c r="B229" s="98" t="s">
        <v>69</v>
      </c>
      <c r="C229" s="97">
        <v>17</v>
      </c>
      <c r="D229" s="99">
        <f>IFERROR(Table1[[#This Row],[MAT]]/Table1[[#This Row],[LAG MATCH]],"")</f>
        <v>0.94444444444444442</v>
      </c>
      <c r="E229" s="97">
        <v>0</v>
      </c>
      <c r="F229" s="97">
        <v>0</v>
      </c>
      <c r="G229" s="97">
        <v>3</v>
      </c>
      <c r="H229" s="97">
        <v>18</v>
      </c>
      <c r="I229" s="100">
        <f t="shared" si="9"/>
        <v>0.17647058823529413</v>
      </c>
      <c r="J229" s="97">
        <f>Table1[[#This Row],[ÅR]]</f>
        <v>2018</v>
      </c>
      <c r="K229" s="97">
        <v>1996</v>
      </c>
      <c r="L229" s="97">
        <f>Table1[[#This Row],[ÅR]]-Table1[[#This Row],[FÖDD]]</f>
        <v>22</v>
      </c>
      <c r="M229" s="97">
        <v>2</v>
      </c>
      <c r="N229" s="97">
        <f>SUMIF(B:B,Table1[[#This Row],[Namn]],C:C)</f>
        <v>105</v>
      </c>
      <c r="O229" s="97">
        <f>COUNTIF(B:B,Table1[[#This Row],[Namn]])</f>
        <v>6</v>
      </c>
      <c r="P229" s="97">
        <f>SUMIF(B:B,Table1[[#This Row],[Namn]],G:G)</f>
        <v>11</v>
      </c>
      <c r="Q229" s="97">
        <f>SUMIF(B:B,Table1[[#This Row],[Namn]],E:E)</f>
        <v>1</v>
      </c>
      <c r="R229" s="97">
        <f>SUMIF(B:B,Table1[[#This Row],[Namn]],F:F)</f>
        <v>0</v>
      </c>
    </row>
    <row r="230" spans="1:18" x14ac:dyDescent="0.25">
      <c r="A230" s="97">
        <v>2018</v>
      </c>
      <c r="B230" s="98" t="s">
        <v>82</v>
      </c>
      <c r="C230" s="97">
        <v>17</v>
      </c>
      <c r="D230" s="99">
        <f>IFERROR(Table1[[#This Row],[MAT]]/Table1[[#This Row],[LAG MATCH]],"")</f>
        <v>0.94444444444444442</v>
      </c>
      <c r="E230" s="97">
        <v>0</v>
      </c>
      <c r="F230" s="97">
        <v>0</v>
      </c>
      <c r="G230" s="97">
        <v>3</v>
      </c>
      <c r="H230" s="97">
        <v>18</v>
      </c>
      <c r="I230" s="100">
        <f t="shared" si="9"/>
        <v>0.17647058823529413</v>
      </c>
      <c r="J230" s="97">
        <f>Table1[[#This Row],[ÅR]]</f>
        <v>2018</v>
      </c>
      <c r="K230" s="97">
        <v>1995</v>
      </c>
      <c r="L230" s="97">
        <f>Table1[[#This Row],[ÅR]]-Table1[[#This Row],[FÖDD]]</f>
        <v>23</v>
      </c>
      <c r="M230" s="97">
        <v>2</v>
      </c>
      <c r="N230" s="97">
        <f>SUMIF(B:B,Table1[[#This Row],[Namn]],C:C)</f>
        <v>89</v>
      </c>
      <c r="O230" s="97">
        <f>COUNTIF(B:B,Table1[[#This Row],[Namn]])</f>
        <v>5</v>
      </c>
      <c r="P230" s="97">
        <f>SUMIF(B:B,Table1[[#This Row],[Namn]],G:G)</f>
        <v>9</v>
      </c>
      <c r="Q230" s="97">
        <f>SUMIF(B:B,Table1[[#This Row],[Namn]],E:E)</f>
        <v>4</v>
      </c>
      <c r="R230" s="97">
        <f>SUMIF(B:B,Table1[[#This Row],[Namn]],F:F)</f>
        <v>0</v>
      </c>
    </row>
    <row r="231" spans="1:18" x14ac:dyDescent="0.25">
      <c r="A231" s="97">
        <v>2018</v>
      </c>
      <c r="B231" s="98" t="s">
        <v>111</v>
      </c>
      <c r="C231" s="97">
        <v>17</v>
      </c>
      <c r="D231" s="99">
        <f>IFERROR(Table1[[#This Row],[MAT]]/Table1[[#This Row],[LAG MATCH]],"")</f>
        <v>0.94444444444444442</v>
      </c>
      <c r="E231" s="97">
        <v>0</v>
      </c>
      <c r="F231" s="97">
        <v>0</v>
      </c>
      <c r="G231" s="97">
        <v>1</v>
      </c>
      <c r="H231" s="97">
        <v>18</v>
      </c>
      <c r="I231" s="100">
        <f t="shared" si="9"/>
        <v>5.8823529411764705E-2</v>
      </c>
      <c r="J231" s="97">
        <f>Table1[[#This Row],[ÅR]]</f>
        <v>2018</v>
      </c>
      <c r="K231" s="97">
        <v>1995</v>
      </c>
      <c r="L231" s="97">
        <f>Table1[[#This Row],[ÅR]]-Table1[[#This Row],[FÖDD]]</f>
        <v>23</v>
      </c>
      <c r="M231" s="97">
        <v>2</v>
      </c>
      <c r="N231" s="97">
        <f>SUMIF(B:B,Table1[[#This Row],[Namn]],C:C)</f>
        <v>43</v>
      </c>
      <c r="O231" s="97">
        <f>COUNTIF(B:B,Table1[[#This Row],[Namn]])</f>
        <v>3</v>
      </c>
      <c r="P231" s="97">
        <f>SUMIF(B:B,Table1[[#This Row],[Namn]],G:G)</f>
        <v>4</v>
      </c>
      <c r="Q231" s="97">
        <f>SUMIF(B:B,Table1[[#This Row],[Namn]],E:E)</f>
        <v>0</v>
      </c>
      <c r="R231" s="97">
        <f>SUMIF(B:B,Table1[[#This Row],[Namn]],F:F)</f>
        <v>0</v>
      </c>
    </row>
    <row r="232" spans="1:18" x14ac:dyDescent="0.25">
      <c r="A232" s="97">
        <v>2018</v>
      </c>
      <c r="B232" s="98" t="s">
        <v>74</v>
      </c>
      <c r="C232" s="97">
        <v>17</v>
      </c>
      <c r="D232" s="99">
        <f>IFERROR(Table1[[#This Row],[MAT]]/Table1[[#This Row],[LAG MATCH]],"")</f>
        <v>0.94444444444444442</v>
      </c>
      <c r="E232" s="97">
        <v>0</v>
      </c>
      <c r="F232" s="97">
        <v>0</v>
      </c>
      <c r="G232" s="97">
        <v>0</v>
      </c>
      <c r="H232" s="97">
        <v>18</v>
      </c>
      <c r="I232" s="100">
        <f t="shared" si="9"/>
        <v>0</v>
      </c>
      <c r="J232" s="97">
        <f>Table1[[#This Row],[ÅR]]</f>
        <v>2018</v>
      </c>
      <c r="K232" s="97">
        <v>1996</v>
      </c>
      <c r="L232" s="97">
        <f>Table1[[#This Row],[ÅR]]-Table1[[#This Row],[FÖDD]]</f>
        <v>22</v>
      </c>
      <c r="M232" s="97">
        <v>2</v>
      </c>
      <c r="N232" s="97">
        <f>SUMIF(B:B,Table1[[#This Row],[Namn]],C:C)</f>
        <v>200</v>
      </c>
      <c r="O232" s="97">
        <f>COUNTIF(B:B,Table1[[#This Row],[Namn]])</f>
        <v>12</v>
      </c>
      <c r="P232" s="97">
        <f>SUMIF(B:B,Table1[[#This Row],[Namn]],G:G)</f>
        <v>9</v>
      </c>
      <c r="Q232" s="97">
        <f>SUMIF(B:B,Table1[[#This Row],[Namn]],E:E)</f>
        <v>1</v>
      </c>
      <c r="R232" s="97">
        <f>SUMIF(B:B,Table1[[#This Row],[Namn]],F:F)</f>
        <v>0</v>
      </c>
    </row>
    <row r="233" spans="1:18" x14ac:dyDescent="0.25">
      <c r="A233" s="97">
        <v>2018</v>
      </c>
      <c r="B233" s="98" t="s">
        <v>59</v>
      </c>
      <c r="C233" s="97">
        <v>17</v>
      </c>
      <c r="D233" s="99">
        <f>IFERROR(Table1[[#This Row],[MAT]]/Table1[[#This Row],[LAG MATCH]],"")</f>
        <v>0.94444444444444442</v>
      </c>
      <c r="E233" s="97">
        <v>0</v>
      </c>
      <c r="F233" s="97">
        <v>0</v>
      </c>
      <c r="G233" s="97">
        <v>0</v>
      </c>
      <c r="H233" s="97">
        <v>18</v>
      </c>
      <c r="I233" s="100">
        <f t="shared" si="9"/>
        <v>0</v>
      </c>
      <c r="J233" s="97">
        <f>Table1[[#This Row],[ÅR]]</f>
        <v>2018</v>
      </c>
      <c r="K233" s="97">
        <v>1989</v>
      </c>
      <c r="L233" s="97">
        <f>Table1[[#This Row],[ÅR]]-Table1[[#This Row],[FÖDD]]</f>
        <v>29</v>
      </c>
      <c r="M233" s="97">
        <v>2</v>
      </c>
      <c r="N233" s="97">
        <f>SUMIF(B:B,Table1[[#This Row],[Namn]],C:C)</f>
        <v>119</v>
      </c>
      <c r="O233" s="97">
        <f>COUNTIF(B:B,Table1[[#This Row],[Namn]])</f>
        <v>6</v>
      </c>
      <c r="P233" s="97">
        <f>SUMIF(B:B,Table1[[#This Row],[Namn]],G:G)</f>
        <v>6</v>
      </c>
      <c r="Q233" s="97">
        <f>SUMIF(B:B,Table1[[#This Row],[Namn]],E:E)</f>
        <v>3</v>
      </c>
      <c r="R233" s="97">
        <f>SUMIF(B:B,Table1[[#This Row],[Namn]],F:F)</f>
        <v>1</v>
      </c>
    </row>
    <row r="234" spans="1:18" x14ac:dyDescent="0.25">
      <c r="A234" s="97">
        <v>2018</v>
      </c>
      <c r="B234" s="98" t="s">
        <v>31</v>
      </c>
      <c r="C234" s="97">
        <v>17</v>
      </c>
      <c r="D234" s="99">
        <f>IFERROR(Table1[[#This Row],[MAT]]/Table1[[#This Row],[LAG MATCH]],"")</f>
        <v>0.94444444444444442</v>
      </c>
      <c r="E234" s="97">
        <v>0</v>
      </c>
      <c r="F234" s="97">
        <v>0</v>
      </c>
      <c r="G234" s="97">
        <v>0</v>
      </c>
      <c r="H234" s="97">
        <v>18</v>
      </c>
      <c r="I234" s="100">
        <f t="shared" si="9"/>
        <v>0</v>
      </c>
      <c r="J234" s="97">
        <f>Table1[[#This Row],[ÅR]]</f>
        <v>2018</v>
      </c>
      <c r="K234" s="97">
        <v>1985</v>
      </c>
      <c r="L234" s="97">
        <f>Table1[[#This Row],[ÅR]]-Table1[[#This Row],[FÖDD]]</f>
        <v>33</v>
      </c>
      <c r="M234" s="97">
        <v>2</v>
      </c>
      <c r="N234" s="97">
        <f>SUMIF(B:B,Table1[[#This Row],[Namn]],C:C)</f>
        <v>25</v>
      </c>
      <c r="O234" s="97">
        <f>COUNTIF(B:B,Table1[[#This Row],[Namn]])</f>
        <v>3</v>
      </c>
      <c r="P234" s="97">
        <f>SUMIF(B:B,Table1[[#This Row],[Namn]],G:G)</f>
        <v>0</v>
      </c>
      <c r="Q234" s="97">
        <f>SUMIF(B:B,Table1[[#This Row],[Namn]],E:E)</f>
        <v>0</v>
      </c>
      <c r="R234" s="97">
        <f>SUMIF(B:B,Table1[[#This Row],[Namn]],F:F)</f>
        <v>0</v>
      </c>
    </row>
    <row r="235" spans="1:18" x14ac:dyDescent="0.25">
      <c r="A235" s="97">
        <v>2018</v>
      </c>
      <c r="B235" s="98" t="s">
        <v>112</v>
      </c>
      <c r="C235" s="97">
        <v>16</v>
      </c>
      <c r="D235" s="99">
        <f>IFERROR(Table1[[#This Row],[MAT]]/Table1[[#This Row],[LAG MATCH]],"")</f>
        <v>0.88888888888888884</v>
      </c>
      <c r="E235" s="97">
        <v>1</v>
      </c>
      <c r="F235" s="97">
        <v>0</v>
      </c>
      <c r="G235" s="97">
        <v>8</v>
      </c>
      <c r="H235" s="97">
        <v>18</v>
      </c>
      <c r="I235" s="100">
        <f t="shared" si="9"/>
        <v>0.5</v>
      </c>
      <c r="J235" s="97">
        <f>Table1[[#This Row],[ÅR]]</f>
        <v>2018</v>
      </c>
      <c r="K235" s="97">
        <v>1992</v>
      </c>
      <c r="L235" s="97">
        <f>Table1[[#This Row],[ÅR]]-Table1[[#This Row],[FÖDD]]</f>
        <v>26</v>
      </c>
      <c r="M235" s="97">
        <v>2</v>
      </c>
      <c r="N235" s="97">
        <f>SUMIF(B:B,Table1[[#This Row],[Namn]],C:C)</f>
        <v>31</v>
      </c>
      <c r="O235" s="97">
        <f>COUNTIF(B:B,Table1[[#This Row],[Namn]])</f>
        <v>2</v>
      </c>
      <c r="P235" s="97">
        <f>SUMIF(B:B,Table1[[#This Row],[Namn]],G:G)</f>
        <v>28</v>
      </c>
      <c r="Q235" s="97">
        <f>SUMIF(B:B,Table1[[#This Row],[Namn]],E:E)</f>
        <v>4</v>
      </c>
      <c r="R235" s="97">
        <f>SUMIF(B:B,Table1[[#This Row],[Namn]],F:F)</f>
        <v>0</v>
      </c>
    </row>
    <row r="236" spans="1:18" x14ac:dyDescent="0.25">
      <c r="A236" s="97">
        <v>2018</v>
      </c>
      <c r="B236" s="98" t="s">
        <v>100</v>
      </c>
      <c r="C236" s="97">
        <v>14</v>
      </c>
      <c r="D236" s="99">
        <f>IFERROR(Table1[[#This Row],[MAT]]/Table1[[#This Row],[LAG MATCH]],"")</f>
        <v>0.77777777777777779</v>
      </c>
      <c r="E236" s="97">
        <v>2</v>
      </c>
      <c r="F236" s="97">
        <v>0</v>
      </c>
      <c r="G236" s="97">
        <v>2</v>
      </c>
      <c r="H236" s="97">
        <v>18</v>
      </c>
      <c r="I236" s="100">
        <f t="shared" si="9"/>
        <v>0.14285714285714285</v>
      </c>
      <c r="J236" s="97">
        <f>Table1[[#This Row],[ÅR]]</f>
        <v>2018</v>
      </c>
      <c r="K236" s="97">
        <v>1998</v>
      </c>
      <c r="L236" s="97">
        <f>Table1[[#This Row],[ÅR]]-Table1[[#This Row],[FÖDD]]</f>
        <v>20</v>
      </c>
      <c r="M236" s="97">
        <v>2</v>
      </c>
      <c r="N236" s="97">
        <f>SUMIF(B:B,Table1[[#This Row],[Namn]],C:C)</f>
        <v>46</v>
      </c>
      <c r="O236" s="97">
        <f>COUNTIF(B:B,Table1[[#This Row],[Namn]])</f>
        <v>3</v>
      </c>
      <c r="P236" s="97">
        <f>SUMIF(B:B,Table1[[#This Row],[Namn]],G:G)</f>
        <v>3</v>
      </c>
      <c r="Q236" s="97">
        <f>SUMIF(B:B,Table1[[#This Row],[Namn]],E:E)</f>
        <v>5</v>
      </c>
      <c r="R236" s="97">
        <f>SUMIF(B:B,Table1[[#This Row],[Namn]],F:F)</f>
        <v>0</v>
      </c>
    </row>
    <row r="237" spans="1:18" x14ac:dyDescent="0.25">
      <c r="A237" s="97">
        <v>2018</v>
      </c>
      <c r="B237" s="98" t="s">
        <v>101</v>
      </c>
      <c r="C237" s="97">
        <v>13</v>
      </c>
      <c r="D237" s="99">
        <f>IFERROR(Table1[[#This Row],[MAT]]/Table1[[#This Row],[LAG MATCH]],"")</f>
        <v>0.72222222222222221</v>
      </c>
      <c r="E237" s="97">
        <v>0</v>
      </c>
      <c r="F237" s="97">
        <v>0</v>
      </c>
      <c r="G237" s="97">
        <v>2</v>
      </c>
      <c r="H237" s="97">
        <v>18</v>
      </c>
      <c r="I237" s="100">
        <f t="shared" si="9"/>
        <v>0.15384615384615385</v>
      </c>
      <c r="J237" s="97">
        <f>Table1[[#This Row],[ÅR]]</f>
        <v>2018</v>
      </c>
      <c r="K237" s="97">
        <v>1996</v>
      </c>
      <c r="L237" s="97">
        <f>Table1[[#This Row],[ÅR]]-Table1[[#This Row],[FÖDD]]</f>
        <v>22</v>
      </c>
      <c r="M237" s="97">
        <v>2</v>
      </c>
      <c r="N237" s="97">
        <f>SUMIF(B:B,Table1[[#This Row],[Namn]],C:C)</f>
        <v>121</v>
      </c>
      <c r="O237" s="97">
        <f>COUNTIF(B:B,Table1[[#This Row],[Namn]])</f>
        <v>9</v>
      </c>
      <c r="P237" s="97">
        <f>SUMIF(B:B,Table1[[#This Row],[Namn]],G:G)</f>
        <v>13</v>
      </c>
      <c r="Q237" s="97">
        <f>SUMIF(B:B,Table1[[#This Row],[Namn]],E:E)</f>
        <v>2</v>
      </c>
      <c r="R237" s="97">
        <f>SUMIF(B:B,Table1[[#This Row],[Namn]],F:F)</f>
        <v>1</v>
      </c>
    </row>
    <row r="238" spans="1:18" x14ac:dyDescent="0.25">
      <c r="A238" s="97">
        <v>2018</v>
      </c>
      <c r="B238" s="98" t="s">
        <v>108</v>
      </c>
      <c r="C238" s="97">
        <v>13</v>
      </c>
      <c r="D238" s="99">
        <f>IFERROR(Table1[[#This Row],[MAT]]/Table1[[#This Row],[LAG MATCH]],"")</f>
        <v>0.72222222222222221</v>
      </c>
      <c r="E238" s="97">
        <v>0</v>
      </c>
      <c r="F238" s="97">
        <v>0</v>
      </c>
      <c r="G238" s="97">
        <v>0</v>
      </c>
      <c r="H238" s="97">
        <v>18</v>
      </c>
      <c r="I238" s="100">
        <f t="shared" si="9"/>
        <v>0</v>
      </c>
      <c r="J238" s="97">
        <f>Table1[[#This Row],[ÅR]]</f>
        <v>2018</v>
      </c>
      <c r="K238" s="97">
        <v>2000</v>
      </c>
      <c r="L238" s="97">
        <f>Table1[[#This Row],[ÅR]]-Table1[[#This Row],[FÖDD]]</f>
        <v>18</v>
      </c>
      <c r="M238" s="97">
        <v>2</v>
      </c>
      <c r="N238" s="97">
        <f>SUMIF(B:B,Table1[[#This Row],[Namn]],C:C)</f>
        <v>80</v>
      </c>
      <c r="O238" s="97">
        <f>COUNTIF(B:B,Table1[[#This Row],[Namn]])</f>
        <v>5</v>
      </c>
      <c r="P238" s="97">
        <f>SUMIF(B:B,Table1[[#This Row],[Namn]],G:G)</f>
        <v>0</v>
      </c>
      <c r="Q238" s="97">
        <f>SUMIF(B:B,Table1[[#This Row],[Namn]],E:E)</f>
        <v>1</v>
      </c>
      <c r="R238" s="97">
        <f>SUMIF(B:B,Table1[[#This Row],[Namn]],F:F)</f>
        <v>0</v>
      </c>
    </row>
    <row r="239" spans="1:18" x14ac:dyDescent="0.25">
      <c r="A239" s="97">
        <v>2018</v>
      </c>
      <c r="B239" s="98" t="s">
        <v>109</v>
      </c>
      <c r="C239" s="97">
        <v>12</v>
      </c>
      <c r="D239" s="99">
        <f>IFERROR(Table1[[#This Row],[MAT]]/Table1[[#This Row],[LAG MATCH]],"")</f>
        <v>0.66666666666666663</v>
      </c>
      <c r="E239" s="97">
        <v>1</v>
      </c>
      <c r="F239" s="97">
        <v>0</v>
      </c>
      <c r="G239" s="97">
        <v>0</v>
      </c>
      <c r="H239" s="97">
        <v>18</v>
      </c>
      <c r="I239" s="100">
        <f t="shared" si="9"/>
        <v>0</v>
      </c>
      <c r="J239" s="97">
        <f>Table1[[#This Row],[ÅR]]</f>
        <v>2018</v>
      </c>
      <c r="K239" s="97">
        <v>1989</v>
      </c>
      <c r="L239" s="97">
        <f>Table1[[#This Row],[ÅR]]-Table1[[#This Row],[FÖDD]]</f>
        <v>29</v>
      </c>
      <c r="M239" s="97">
        <v>2</v>
      </c>
      <c r="N239" s="97">
        <f>SUMIF(B:B,Table1[[#This Row],[Namn]],C:C)</f>
        <v>39</v>
      </c>
      <c r="O239" s="97">
        <f>COUNTIF(B:B,Table1[[#This Row],[Namn]])</f>
        <v>4</v>
      </c>
      <c r="P239" s="97">
        <f>SUMIF(B:B,Table1[[#This Row],[Namn]],G:G)</f>
        <v>1</v>
      </c>
      <c r="Q239" s="97">
        <f>SUMIF(B:B,Table1[[#This Row],[Namn]],E:E)</f>
        <v>1</v>
      </c>
      <c r="R239" s="97">
        <f>SUMIF(B:B,Table1[[#This Row],[Namn]],F:F)</f>
        <v>0</v>
      </c>
    </row>
    <row r="240" spans="1:18" x14ac:dyDescent="0.25">
      <c r="A240" s="97">
        <v>2018</v>
      </c>
      <c r="B240" s="98" t="s">
        <v>113</v>
      </c>
      <c r="C240" s="97">
        <v>11</v>
      </c>
      <c r="D240" s="99">
        <f>IFERROR(Table1[[#This Row],[MAT]]/Table1[[#This Row],[LAG MATCH]],"")</f>
        <v>0.61111111111111116</v>
      </c>
      <c r="E240" s="97">
        <v>1</v>
      </c>
      <c r="F240" s="97">
        <v>0</v>
      </c>
      <c r="G240" s="97">
        <v>0</v>
      </c>
      <c r="H240" s="97">
        <v>18</v>
      </c>
      <c r="I240" s="100">
        <f t="shared" si="9"/>
        <v>0</v>
      </c>
      <c r="J240" s="97">
        <f>Table1[[#This Row],[ÅR]]</f>
        <v>2018</v>
      </c>
      <c r="K240" s="97">
        <v>1994</v>
      </c>
      <c r="L240" s="97">
        <f>Table1[[#This Row],[ÅR]]-Table1[[#This Row],[FÖDD]]</f>
        <v>24</v>
      </c>
      <c r="M240" s="97">
        <v>2</v>
      </c>
      <c r="N240" s="97">
        <f>SUMIF(B:B,Table1[[#This Row],[Namn]],C:C)</f>
        <v>25</v>
      </c>
      <c r="O240" s="97">
        <f>COUNTIF(B:B,Table1[[#This Row],[Namn]])</f>
        <v>2</v>
      </c>
      <c r="P240" s="97">
        <f>SUMIF(B:B,Table1[[#This Row],[Namn]],G:G)</f>
        <v>0</v>
      </c>
      <c r="Q240" s="97">
        <f>SUMIF(B:B,Table1[[#This Row],[Namn]],E:E)</f>
        <v>1</v>
      </c>
      <c r="R240" s="97">
        <f>SUMIF(B:B,Table1[[#This Row],[Namn]],F:F)</f>
        <v>0</v>
      </c>
    </row>
    <row r="241" spans="1:18" x14ac:dyDescent="0.25">
      <c r="A241" s="97">
        <v>2018</v>
      </c>
      <c r="B241" s="98" t="s">
        <v>85</v>
      </c>
      <c r="C241" s="97">
        <v>8</v>
      </c>
      <c r="D241" s="99">
        <f>IFERROR(Table1[[#This Row],[MAT]]/Table1[[#This Row],[LAG MATCH]],"")</f>
        <v>0.44444444444444442</v>
      </c>
      <c r="E241" s="97">
        <v>1</v>
      </c>
      <c r="F241" s="97">
        <v>0</v>
      </c>
      <c r="G241" s="97">
        <v>5</v>
      </c>
      <c r="H241" s="97">
        <v>18</v>
      </c>
      <c r="I241" s="100">
        <f t="shared" si="9"/>
        <v>0.625</v>
      </c>
      <c r="J241" s="97">
        <f>Table1[[#This Row],[ÅR]]</f>
        <v>2018</v>
      </c>
      <c r="K241" s="97">
        <v>2000</v>
      </c>
      <c r="L241" s="97">
        <f>Table1[[#This Row],[ÅR]]-Table1[[#This Row],[FÖDD]]</f>
        <v>18</v>
      </c>
      <c r="M241" s="97">
        <v>2</v>
      </c>
      <c r="N241" s="97">
        <f>SUMIF(B:B,Table1[[#This Row],[Namn]],C:C)</f>
        <v>19</v>
      </c>
      <c r="O241" s="97">
        <f>COUNTIF(B:B,Table1[[#This Row],[Namn]])</f>
        <v>2</v>
      </c>
      <c r="P241" s="97">
        <f>SUMIF(B:B,Table1[[#This Row],[Namn]],G:G)</f>
        <v>9</v>
      </c>
      <c r="Q241" s="97">
        <f>SUMIF(B:B,Table1[[#This Row],[Namn]],E:E)</f>
        <v>1</v>
      </c>
      <c r="R241" s="97">
        <f>SUMIF(B:B,Table1[[#This Row],[Namn]],F:F)</f>
        <v>0</v>
      </c>
    </row>
    <row r="242" spans="1:18" x14ac:dyDescent="0.25">
      <c r="A242" s="97">
        <v>2018</v>
      </c>
      <c r="B242" s="98" t="s">
        <v>114</v>
      </c>
      <c r="C242" s="97">
        <v>8</v>
      </c>
      <c r="D242" s="99">
        <f>IFERROR(Table1[[#This Row],[MAT]]/Table1[[#This Row],[LAG MATCH]],"")</f>
        <v>0.44444444444444442</v>
      </c>
      <c r="E242" s="97">
        <v>1</v>
      </c>
      <c r="F242" s="97">
        <v>0</v>
      </c>
      <c r="G242" s="97">
        <v>1</v>
      </c>
      <c r="H242" s="97">
        <v>18</v>
      </c>
      <c r="I242" s="100">
        <f t="shared" si="9"/>
        <v>0.125</v>
      </c>
      <c r="J242" s="97">
        <f>Table1[[#This Row],[ÅR]]</f>
        <v>2018</v>
      </c>
      <c r="K242" s="97">
        <v>1990</v>
      </c>
      <c r="L242" s="97">
        <f>Table1[[#This Row],[ÅR]]-Table1[[#This Row],[FÖDD]]</f>
        <v>28</v>
      </c>
      <c r="M242" s="97">
        <v>2</v>
      </c>
      <c r="N242" s="97">
        <f>SUMIF(B:B,Table1[[#This Row],[Namn]],C:C)</f>
        <v>8</v>
      </c>
      <c r="O242" s="97">
        <f>COUNTIF(B:B,Table1[[#This Row],[Namn]])</f>
        <v>1</v>
      </c>
      <c r="P242" s="97">
        <f>SUMIF(B:B,Table1[[#This Row],[Namn]],G:G)</f>
        <v>1</v>
      </c>
      <c r="Q242" s="97">
        <f>SUMIF(B:B,Table1[[#This Row],[Namn]],E:E)</f>
        <v>1</v>
      </c>
      <c r="R242" s="97">
        <f>SUMIF(B:B,Table1[[#This Row],[Namn]],F:F)</f>
        <v>0</v>
      </c>
    </row>
    <row r="243" spans="1:18" x14ac:dyDescent="0.25">
      <c r="A243" s="97">
        <v>2018</v>
      </c>
      <c r="B243" s="98" t="s">
        <v>66</v>
      </c>
      <c r="C243" s="97">
        <v>8</v>
      </c>
      <c r="D243" s="99">
        <f>IFERROR(Table1[[#This Row],[MAT]]/Table1[[#This Row],[LAG MATCH]],"")</f>
        <v>0.44444444444444442</v>
      </c>
      <c r="E243" s="97">
        <v>1</v>
      </c>
      <c r="F243" s="97">
        <v>0</v>
      </c>
      <c r="G243" s="97">
        <v>0</v>
      </c>
      <c r="H243" s="97">
        <v>18</v>
      </c>
      <c r="I243" s="100">
        <f t="shared" si="9"/>
        <v>0</v>
      </c>
      <c r="J243" s="97">
        <f>Table1[[#This Row],[ÅR]]</f>
        <v>2018</v>
      </c>
      <c r="K243" s="97">
        <v>1997</v>
      </c>
      <c r="L243" s="97">
        <f>Table1[[#This Row],[ÅR]]-Table1[[#This Row],[FÖDD]]</f>
        <v>21</v>
      </c>
      <c r="M243" s="97">
        <v>2</v>
      </c>
      <c r="N243" s="97">
        <f>SUMIF(B:B,Table1[[#This Row],[Namn]],C:C)</f>
        <v>32</v>
      </c>
      <c r="O243" s="97">
        <f>COUNTIF(B:B,Table1[[#This Row],[Namn]])</f>
        <v>3</v>
      </c>
      <c r="P243" s="97">
        <f>SUMIF(B:B,Table1[[#This Row],[Namn]],G:G)</f>
        <v>1</v>
      </c>
      <c r="Q243" s="97">
        <f>SUMIF(B:B,Table1[[#This Row],[Namn]],E:E)</f>
        <v>3</v>
      </c>
      <c r="R243" s="97">
        <f>SUMIF(B:B,Table1[[#This Row],[Namn]],F:F)</f>
        <v>0</v>
      </c>
    </row>
    <row r="244" spans="1:18" x14ac:dyDescent="0.25">
      <c r="A244" s="97">
        <v>2018</v>
      </c>
      <c r="B244" s="98" t="s">
        <v>115</v>
      </c>
      <c r="C244" s="97">
        <v>4</v>
      </c>
      <c r="D244" s="99">
        <f>IFERROR(Table1[[#This Row],[MAT]]/Table1[[#This Row],[LAG MATCH]],"")</f>
        <v>0.22222222222222221</v>
      </c>
      <c r="E244" s="97">
        <v>0</v>
      </c>
      <c r="F244" s="97">
        <v>0</v>
      </c>
      <c r="G244" s="97">
        <v>0</v>
      </c>
      <c r="H244" s="97">
        <v>18</v>
      </c>
      <c r="I244" s="100">
        <f t="shared" si="9"/>
        <v>0</v>
      </c>
      <c r="J244" s="97">
        <f>Table1[[#This Row],[ÅR]]</f>
        <v>2018</v>
      </c>
      <c r="K244" s="97">
        <v>1999</v>
      </c>
      <c r="L244" s="97">
        <f>Table1[[#This Row],[ÅR]]-Table1[[#This Row],[FÖDD]]</f>
        <v>19</v>
      </c>
      <c r="M244" s="97">
        <v>2</v>
      </c>
      <c r="N244" s="97">
        <f>SUMIF(B:B,Table1[[#This Row],[Namn]],C:C)</f>
        <v>4</v>
      </c>
      <c r="O244" s="97">
        <f>COUNTIF(B:B,Table1[[#This Row],[Namn]])</f>
        <v>1</v>
      </c>
      <c r="P244" s="97">
        <f>SUMIF(B:B,Table1[[#This Row],[Namn]],G:G)</f>
        <v>0</v>
      </c>
      <c r="Q244" s="97">
        <f>SUMIF(B:B,Table1[[#This Row],[Namn]],E:E)</f>
        <v>0</v>
      </c>
      <c r="R244" s="97">
        <f>SUMIF(B:B,Table1[[#This Row],[Namn]],F:F)</f>
        <v>0</v>
      </c>
    </row>
    <row r="245" spans="1:18" x14ac:dyDescent="0.25">
      <c r="A245" s="97">
        <v>2018</v>
      </c>
      <c r="B245" s="98" t="s">
        <v>116</v>
      </c>
      <c r="C245" s="97">
        <v>4</v>
      </c>
      <c r="D245" s="99">
        <f>IFERROR(Table1[[#This Row],[MAT]]/Table1[[#This Row],[LAG MATCH]],"")</f>
        <v>0.22222222222222221</v>
      </c>
      <c r="E245" s="97">
        <v>0</v>
      </c>
      <c r="F245" s="97">
        <v>0</v>
      </c>
      <c r="G245" s="97">
        <v>0</v>
      </c>
      <c r="H245" s="97">
        <v>18</v>
      </c>
      <c r="I245" s="100">
        <f t="shared" si="9"/>
        <v>0</v>
      </c>
      <c r="J245" s="97">
        <f>Table1[[#This Row],[ÅR]]</f>
        <v>2018</v>
      </c>
      <c r="K245" s="97">
        <v>1999</v>
      </c>
      <c r="L245" s="97">
        <f>Table1[[#This Row],[ÅR]]-Table1[[#This Row],[FÖDD]]</f>
        <v>19</v>
      </c>
      <c r="M245" s="97">
        <v>2</v>
      </c>
      <c r="N245" s="97">
        <f>SUMIF(B:B,Table1[[#This Row],[Namn]],C:C)</f>
        <v>4</v>
      </c>
      <c r="O245" s="97">
        <f>COUNTIF(B:B,Table1[[#This Row],[Namn]])</f>
        <v>1</v>
      </c>
      <c r="P245" s="97">
        <f>SUMIF(B:B,Table1[[#This Row],[Namn]],G:G)</f>
        <v>0</v>
      </c>
      <c r="Q245" s="97">
        <f>SUMIF(B:B,Table1[[#This Row],[Namn]],E:E)</f>
        <v>0</v>
      </c>
      <c r="R245" s="97">
        <f>SUMIF(B:B,Table1[[#This Row],[Namn]],F:F)</f>
        <v>0</v>
      </c>
    </row>
    <row r="246" spans="1:18" x14ac:dyDescent="0.25">
      <c r="A246" s="97">
        <v>2017</v>
      </c>
      <c r="B246" s="98" t="s">
        <v>64</v>
      </c>
      <c r="C246" s="97">
        <v>16</v>
      </c>
      <c r="D246" s="99">
        <f>IFERROR(Table1[[#This Row],[MAT]]/Table1[[#This Row],[LAG MATCH]],"")</f>
        <v>1</v>
      </c>
      <c r="E246" s="97">
        <v>0</v>
      </c>
      <c r="F246" s="97">
        <v>0</v>
      </c>
      <c r="G246" s="97">
        <v>5</v>
      </c>
      <c r="H246" s="97">
        <v>16</v>
      </c>
      <c r="I246" s="100">
        <f t="shared" si="9"/>
        <v>0.3125</v>
      </c>
      <c r="J246" s="97">
        <f>Table1[[#This Row],[ÅR]]</f>
        <v>2017</v>
      </c>
      <c r="K246" s="97">
        <v>2001</v>
      </c>
      <c r="L246" s="97">
        <f>Table1[[#This Row],[ÅR]]-Table1[[#This Row],[FÖDD]]</f>
        <v>16</v>
      </c>
      <c r="M246" s="97">
        <v>3</v>
      </c>
      <c r="N246" s="97">
        <f>SUMIF(B:B,Table1[[#This Row],[Namn]],C:C)</f>
        <v>48</v>
      </c>
      <c r="O246" s="97">
        <f>COUNTIF(B:B,Table1[[#This Row],[Namn]])</f>
        <v>8</v>
      </c>
      <c r="P246" s="97">
        <f>SUMIF(B:B,Table1[[#This Row],[Namn]],G:G)</f>
        <v>14</v>
      </c>
      <c r="Q246" s="97">
        <f>SUMIF(B:B,Table1[[#This Row],[Namn]],E:E)</f>
        <v>1</v>
      </c>
      <c r="R246" s="97">
        <f>SUMIF(B:B,Table1[[#This Row],[Namn]],F:F)</f>
        <v>0</v>
      </c>
    </row>
    <row r="247" spans="1:18" x14ac:dyDescent="0.25">
      <c r="A247" s="97">
        <v>2017</v>
      </c>
      <c r="B247" s="98" t="s">
        <v>108</v>
      </c>
      <c r="C247" s="97">
        <v>16</v>
      </c>
      <c r="D247" s="99">
        <f>IFERROR(Table1[[#This Row],[MAT]]/Table1[[#This Row],[LAG MATCH]],"")</f>
        <v>1</v>
      </c>
      <c r="E247" s="97">
        <v>0</v>
      </c>
      <c r="F247" s="97">
        <v>0</v>
      </c>
      <c r="G247" s="97">
        <v>0</v>
      </c>
      <c r="H247" s="97">
        <v>16</v>
      </c>
      <c r="I247" s="100">
        <f t="shared" si="9"/>
        <v>0</v>
      </c>
      <c r="J247" s="97">
        <f>Table1[[#This Row],[ÅR]]</f>
        <v>2017</v>
      </c>
      <c r="K247" s="97">
        <v>2000</v>
      </c>
      <c r="L247" s="97">
        <f>Table1[[#This Row],[ÅR]]-Table1[[#This Row],[FÖDD]]</f>
        <v>17</v>
      </c>
      <c r="M247" s="97">
        <v>3</v>
      </c>
      <c r="N247" s="97">
        <f>SUMIF(B:B,Table1[[#This Row],[Namn]],C:C)</f>
        <v>80</v>
      </c>
      <c r="O247" s="97">
        <f>COUNTIF(B:B,Table1[[#This Row],[Namn]])</f>
        <v>5</v>
      </c>
      <c r="P247" s="97">
        <f>SUMIF(B:B,Table1[[#This Row],[Namn]],G:G)</f>
        <v>0</v>
      </c>
      <c r="Q247" s="97">
        <f>SUMIF(B:B,Table1[[#This Row],[Namn]],E:E)</f>
        <v>1</v>
      </c>
      <c r="R247" s="97">
        <f>SUMIF(B:B,Table1[[#This Row],[Namn]],F:F)</f>
        <v>0</v>
      </c>
    </row>
    <row r="248" spans="1:18" x14ac:dyDescent="0.25">
      <c r="A248" s="97">
        <v>2017</v>
      </c>
      <c r="B248" s="98" t="s">
        <v>112</v>
      </c>
      <c r="C248" s="97">
        <v>15</v>
      </c>
      <c r="D248" s="99">
        <f>IFERROR(Table1[[#This Row],[MAT]]/Table1[[#This Row],[LAG MATCH]],"")</f>
        <v>0.9375</v>
      </c>
      <c r="E248" s="97">
        <v>3</v>
      </c>
      <c r="F248" s="97">
        <v>0</v>
      </c>
      <c r="G248" s="97">
        <v>20</v>
      </c>
      <c r="H248" s="97">
        <v>16</v>
      </c>
      <c r="I248" s="100">
        <f t="shared" si="9"/>
        <v>1.3333333333333333</v>
      </c>
      <c r="J248" s="97">
        <f>Table1[[#This Row],[ÅR]]</f>
        <v>2017</v>
      </c>
      <c r="K248" s="97">
        <v>1992</v>
      </c>
      <c r="L248" s="97">
        <f>Table1[[#This Row],[ÅR]]-Table1[[#This Row],[FÖDD]]</f>
        <v>25</v>
      </c>
      <c r="M248" s="97">
        <v>3</v>
      </c>
      <c r="N248" s="97">
        <f>SUMIF(B:B,Table1[[#This Row],[Namn]],C:C)</f>
        <v>31</v>
      </c>
      <c r="O248" s="97">
        <f>COUNTIF(B:B,Table1[[#This Row],[Namn]])</f>
        <v>2</v>
      </c>
      <c r="P248" s="97">
        <f>SUMIF(B:B,Table1[[#This Row],[Namn]],G:G)</f>
        <v>28</v>
      </c>
      <c r="Q248" s="97">
        <f>SUMIF(B:B,Table1[[#This Row],[Namn]],E:E)</f>
        <v>4</v>
      </c>
      <c r="R248" s="97">
        <f>SUMIF(B:B,Table1[[#This Row],[Namn]],F:F)</f>
        <v>0</v>
      </c>
    </row>
    <row r="249" spans="1:18" x14ac:dyDescent="0.25">
      <c r="A249" s="97">
        <v>2017</v>
      </c>
      <c r="B249" s="98" t="s">
        <v>74</v>
      </c>
      <c r="C249" s="97">
        <v>15</v>
      </c>
      <c r="D249" s="99">
        <f>IFERROR(Table1[[#This Row],[MAT]]/Table1[[#This Row],[LAG MATCH]],"")</f>
        <v>0.9375</v>
      </c>
      <c r="E249" s="97">
        <v>0</v>
      </c>
      <c r="F249" s="97">
        <v>0</v>
      </c>
      <c r="G249" s="97">
        <v>0</v>
      </c>
      <c r="H249" s="97">
        <v>16</v>
      </c>
      <c r="I249" s="100">
        <f t="shared" si="9"/>
        <v>0</v>
      </c>
      <c r="J249" s="97">
        <f>Table1[[#This Row],[ÅR]]</f>
        <v>2017</v>
      </c>
      <c r="K249" s="97">
        <v>1996</v>
      </c>
      <c r="L249" s="97">
        <f>Table1[[#This Row],[ÅR]]-Table1[[#This Row],[FÖDD]]</f>
        <v>21</v>
      </c>
      <c r="M249" s="97">
        <v>3</v>
      </c>
      <c r="N249" s="97">
        <f>SUMIF(B:B,Table1[[#This Row],[Namn]],C:C)</f>
        <v>200</v>
      </c>
      <c r="O249" s="97">
        <f>COUNTIF(B:B,Table1[[#This Row],[Namn]])</f>
        <v>12</v>
      </c>
      <c r="P249" s="97">
        <f>SUMIF(B:B,Table1[[#This Row],[Namn]],G:G)</f>
        <v>9</v>
      </c>
      <c r="Q249" s="97">
        <f>SUMIF(B:B,Table1[[#This Row],[Namn]],E:E)</f>
        <v>1</v>
      </c>
      <c r="R249" s="97">
        <f>SUMIF(B:B,Table1[[#This Row],[Namn]],F:F)</f>
        <v>0</v>
      </c>
    </row>
    <row r="250" spans="1:18" x14ac:dyDescent="0.25">
      <c r="A250" s="97">
        <v>2017</v>
      </c>
      <c r="B250" s="98" t="s">
        <v>89</v>
      </c>
      <c r="C250" s="97">
        <v>14</v>
      </c>
      <c r="D250" s="99">
        <f>IFERROR(Table1[[#This Row],[MAT]]/Table1[[#This Row],[LAG MATCH]],"")</f>
        <v>0.875</v>
      </c>
      <c r="E250" s="97">
        <v>0</v>
      </c>
      <c r="F250" s="97">
        <v>0</v>
      </c>
      <c r="G250" s="97">
        <v>3</v>
      </c>
      <c r="H250" s="97">
        <v>16</v>
      </c>
      <c r="I250" s="100">
        <f t="shared" si="9"/>
        <v>0.21428571428571427</v>
      </c>
      <c r="J250" s="97">
        <f>Table1[[#This Row],[ÅR]]</f>
        <v>2017</v>
      </c>
      <c r="K250" s="97">
        <v>1991</v>
      </c>
      <c r="L250" s="97">
        <f>Table1[[#This Row],[ÅR]]-Table1[[#This Row],[FÖDD]]</f>
        <v>26</v>
      </c>
      <c r="M250" s="97">
        <v>3</v>
      </c>
      <c r="N250" s="97">
        <f>SUMIF(B:B,Table1[[#This Row],[Namn]],C:C)</f>
        <v>63</v>
      </c>
      <c r="O250" s="97">
        <f>COUNTIF(B:B,Table1[[#This Row],[Namn]])</f>
        <v>5</v>
      </c>
      <c r="P250" s="97">
        <f>SUMIF(B:B,Table1[[#This Row],[Namn]],G:G)</f>
        <v>11</v>
      </c>
      <c r="Q250" s="97">
        <f>SUMIF(B:B,Table1[[#This Row],[Namn]],E:E)</f>
        <v>0</v>
      </c>
      <c r="R250" s="97">
        <f>SUMIF(B:B,Table1[[#This Row],[Namn]],F:F)</f>
        <v>0</v>
      </c>
    </row>
    <row r="251" spans="1:18" x14ac:dyDescent="0.25">
      <c r="A251" s="97">
        <v>2017</v>
      </c>
      <c r="B251" s="98" t="s">
        <v>117</v>
      </c>
      <c r="C251" s="97">
        <v>14</v>
      </c>
      <c r="D251" s="99">
        <f>IFERROR(Table1[[#This Row],[MAT]]/Table1[[#This Row],[LAG MATCH]],"")</f>
        <v>0.875</v>
      </c>
      <c r="E251" s="97">
        <v>1</v>
      </c>
      <c r="F251" s="97">
        <v>0</v>
      </c>
      <c r="G251" s="97">
        <v>1</v>
      </c>
      <c r="H251" s="97">
        <v>16</v>
      </c>
      <c r="I251" s="100">
        <f t="shared" si="9"/>
        <v>7.1428571428571425E-2</v>
      </c>
      <c r="J251" s="97">
        <f>Table1[[#This Row],[ÅR]]</f>
        <v>2017</v>
      </c>
      <c r="K251" s="97">
        <v>1990</v>
      </c>
      <c r="L251" s="97">
        <f>Table1[[#This Row],[ÅR]]-Table1[[#This Row],[FÖDD]]</f>
        <v>27</v>
      </c>
      <c r="M251" s="97">
        <v>3</v>
      </c>
      <c r="N251" s="97">
        <f>SUMIF(B:B,Table1[[#This Row],[Namn]],C:C)</f>
        <v>14</v>
      </c>
      <c r="O251" s="97">
        <f>COUNTIF(B:B,Table1[[#This Row],[Namn]])</f>
        <v>1</v>
      </c>
      <c r="P251" s="97">
        <f>SUMIF(B:B,Table1[[#This Row],[Namn]],G:G)</f>
        <v>1</v>
      </c>
      <c r="Q251" s="97">
        <f>SUMIF(B:B,Table1[[#This Row],[Namn]],E:E)</f>
        <v>1</v>
      </c>
      <c r="R251" s="97">
        <f>SUMIF(B:B,Table1[[#This Row],[Namn]],F:F)</f>
        <v>0</v>
      </c>
    </row>
    <row r="252" spans="1:18" x14ac:dyDescent="0.25">
      <c r="A252" s="97">
        <v>2017</v>
      </c>
      <c r="B252" s="98" t="s">
        <v>113</v>
      </c>
      <c r="C252" s="97">
        <v>14</v>
      </c>
      <c r="D252" s="99">
        <f>IFERROR(Table1[[#This Row],[MAT]]/Table1[[#This Row],[LAG MATCH]],"")</f>
        <v>0.875</v>
      </c>
      <c r="E252" s="97">
        <v>0</v>
      </c>
      <c r="F252" s="97">
        <v>0</v>
      </c>
      <c r="G252" s="97">
        <v>0</v>
      </c>
      <c r="H252" s="97">
        <v>16</v>
      </c>
      <c r="I252" s="100">
        <f t="shared" si="9"/>
        <v>0</v>
      </c>
      <c r="J252" s="97">
        <f>Table1[[#This Row],[ÅR]]</f>
        <v>2017</v>
      </c>
      <c r="K252" s="97">
        <v>1994</v>
      </c>
      <c r="L252" s="97">
        <f>Table1[[#This Row],[ÅR]]-Table1[[#This Row],[FÖDD]]</f>
        <v>23</v>
      </c>
      <c r="M252" s="97">
        <v>3</v>
      </c>
      <c r="N252" s="97">
        <f>SUMIF(B:B,Table1[[#This Row],[Namn]],C:C)</f>
        <v>25</v>
      </c>
      <c r="O252" s="97">
        <f>COUNTIF(B:B,Table1[[#This Row],[Namn]])</f>
        <v>2</v>
      </c>
      <c r="P252" s="97">
        <f>SUMIF(B:B,Table1[[#This Row],[Namn]],G:G)</f>
        <v>0</v>
      </c>
      <c r="Q252" s="97">
        <f>SUMIF(B:B,Table1[[#This Row],[Namn]],E:E)</f>
        <v>1</v>
      </c>
      <c r="R252" s="97">
        <f>SUMIF(B:B,Table1[[#This Row],[Namn]],F:F)</f>
        <v>0</v>
      </c>
    </row>
    <row r="253" spans="1:18" x14ac:dyDescent="0.25">
      <c r="A253" s="97">
        <v>2017</v>
      </c>
      <c r="B253" s="98" t="s">
        <v>43</v>
      </c>
      <c r="C253" s="97">
        <v>13</v>
      </c>
      <c r="D253" s="99">
        <f>IFERROR(Table1[[#This Row],[MAT]]/Table1[[#This Row],[LAG MATCH]],"")</f>
        <v>0.8125</v>
      </c>
      <c r="E253" s="97">
        <v>0</v>
      </c>
      <c r="F253" s="97">
        <v>0</v>
      </c>
      <c r="G253" s="97">
        <v>9</v>
      </c>
      <c r="H253" s="97">
        <v>16</v>
      </c>
      <c r="I253" s="100">
        <f t="shared" si="9"/>
        <v>0.69230769230769229</v>
      </c>
      <c r="J253" s="97">
        <f>Table1[[#This Row],[ÅR]]</f>
        <v>2017</v>
      </c>
      <c r="K253" s="97">
        <v>2002</v>
      </c>
      <c r="L253" s="97">
        <f>Table1[[#This Row],[ÅR]]-Table1[[#This Row],[FÖDD]]</f>
        <v>15</v>
      </c>
      <c r="M253" s="97">
        <v>3</v>
      </c>
      <c r="N253" s="97">
        <f>SUMIF(B:B,Table1[[#This Row],[Namn]],C:C)</f>
        <v>53</v>
      </c>
      <c r="O253" s="97">
        <f>COUNTIF(B:B,Table1[[#This Row],[Namn]])</f>
        <v>5</v>
      </c>
      <c r="P253" s="97">
        <f>SUMIF(B:B,Table1[[#This Row],[Namn]],G:G)</f>
        <v>25</v>
      </c>
      <c r="Q253" s="97">
        <f>SUMIF(B:B,Table1[[#This Row],[Namn]],E:E)</f>
        <v>3</v>
      </c>
      <c r="R253" s="97">
        <f>SUMIF(B:B,Table1[[#This Row],[Namn]],F:F)</f>
        <v>0</v>
      </c>
    </row>
    <row r="254" spans="1:18" x14ac:dyDescent="0.25">
      <c r="A254" s="97">
        <v>2017</v>
      </c>
      <c r="B254" s="98" t="s">
        <v>118</v>
      </c>
      <c r="C254" s="97">
        <v>13</v>
      </c>
      <c r="D254" s="99">
        <f>IFERROR(Table1[[#This Row],[MAT]]/Table1[[#This Row],[LAG MATCH]],"")</f>
        <v>0.8125</v>
      </c>
      <c r="E254" s="97">
        <v>0</v>
      </c>
      <c r="F254" s="97">
        <v>0</v>
      </c>
      <c r="G254" s="97">
        <v>3</v>
      </c>
      <c r="H254" s="97">
        <v>16</v>
      </c>
      <c r="I254" s="100">
        <f t="shared" si="9"/>
        <v>0.23076923076923078</v>
      </c>
      <c r="J254" s="97">
        <f>Table1[[#This Row],[ÅR]]</f>
        <v>2017</v>
      </c>
      <c r="K254" s="97">
        <v>1999</v>
      </c>
      <c r="L254" s="97">
        <f>Table1[[#This Row],[ÅR]]-Table1[[#This Row],[FÖDD]]</f>
        <v>18</v>
      </c>
      <c r="M254" s="97">
        <v>3</v>
      </c>
      <c r="N254" s="97">
        <f>SUMIF(B:B,Table1[[#This Row],[Namn]],C:C)</f>
        <v>13</v>
      </c>
      <c r="O254" s="97">
        <f>COUNTIF(B:B,Table1[[#This Row],[Namn]])</f>
        <v>1</v>
      </c>
      <c r="P254" s="97">
        <f>SUMIF(B:B,Table1[[#This Row],[Namn]],G:G)</f>
        <v>3</v>
      </c>
      <c r="Q254" s="97">
        <f>SUMIF(B:B,Table1[[#This Row],[Namn]],E:E)</f>
        <v>0</v>
      </c>
      <c r="R254" s="97">
        <f>SUMIF(B:B,Table1[[#This Row],[Namn]],F:F)</f>
        <v>0</v>
      </c>
    </row>
    <row r="255" spans="1:18" x14ac:dyDescent="0.25">
      <c r="A255" s="97">
        <v>2017</v>
      </c>
      <c r="B255" s="98" t="s">
        <v>111</v>
      </c>
      <c r="C255" s="97">
        <v>13</v>
      </c>
      <c r="D255" s="99">
        <f>IFERROR(Table1[[#This Row],[MAT]]/Table1[[#This Row],[LAG MATCH]],"")</f>
        <v>0.8125</v>
      </c>
      <c r="E255" s="97">
        <v>0</v>
      </c>
      <c r="F255" s="97">
        <v>0</v>
      </c>
      <c r="G255" s="97">
        <v>1</v>
      </c>
      <c r="H255" s="97">
        <v>16</v>
      </c>
      <c r="I255" s="100">
        <f t="shared" si="9"/>
        <v>7.6923076923076927E-2</v>
      </c>
      <c r="J255" s="97">
        <f>Table1[[#This Row],[ÅR]]</f>
        <v>2017</v>
      </c>
      <c r="K255" s="97">
        <v>1995</v>
      </c>
      <c r="L255" s="97">
        <f>Table1[[#This Row],[ÅR]]-Table1[[#This Row],[FÖDD]]</f>
        <v>22</v>
      </c>
      <c r="M255" s="97">
        <v>3</v>
      </c>
      <c r="N255" s="97">
        <f>SUMIF(B:B,Table1[[#This Row],[Namn]],C:C)</f>
        <v>43</v>
      </c>
      <c r="O255" s="97">
        <f>COUNTIF(B:B,Table1[[#This Row],[Namn]])</f>
        <v>3</v>
      </c>
      <c r="P255" s="97">
        <f>SUMIF(B:B,Table1[[#This Row],[Namn]],G:G)</f>
        <v>4</v>
      </c>
      <c r="Q255" s="97">
        <f>SUMIF(B:B,Table1[[#This Row],[Namn]],E:E)</f>
        <v>0</v>
      </c>
      <c r="R255" s="97">
        <f>SUMIF(B:B,Table1[[#This Row],[Namn]],F:F)</f>
        <v>0</v>
      </c>
    </row>
    <row r="256" spans="1:18" x14ac:dyDescent="0.25">
      <c r="A256" s="97">
        <v>2017</v>
      </c>
      <c r="B256" s="98" t="s">
        <v>101</v>
      </c>
      <c r="C256" s="97">
        <v>12</v>
      </c>
      <c r="D256" s="99">
        <f>IFERROR(Table1[[#This Row],[MAT]]/Table1[[#This Row],[LAG MATCH]],"")</f>
        <v>0.75</v>
      </c>
      <c r="E256" s="97">
        <v>1</v>
      </c>
      <c r="F256" s="97">
        <v>0</v>
      </c>
      <c r="G256" s="97">
        <v>0</v>
      </c>
      <c r="H256" s="97">
        <v>16</v>
      </c>
      <c r="I256" s="100">
        <f t="shared" si="9"/>
        <v>0</v>
      </c>
      <c r="J256" s="97">
        <f>Table1[[#This Row],[ÅR]]</f>
        <v>2017</v>
      </c>
      <c r="K256" s="97">
        <v>1996</v>
      </c>
      <c r="L256" s="97">
        <f>Table1[[#This Row],[ÅR]]-Table1[[#This Row],[FÖDD]]</f>
        <v>21</v>
      </c>
      <c r="M256" s="97">
        <v>3</v>
      </c>
      <c r="N256" s="97">
        <f>SUMIF(B:B,Table1[[#This Row],[Namn]],C:C)</f>
        <v>121</v>
      </c>
      <c r="O256" s="97">
        <f>COUNTIF(B:B,Table1[[#This Row],[Namn]])</f>
        <v>9</v>
      </c>
      <c r="P256" s="97">
        <f>SUMIF(B:B,Table1[[#This Row],[Namn]],G:G)</f>
        <v>13</v>
      </c>
      <c r="Q256" s="97">
        <f>SUMIF(B:B,Table1[[#This Row],[Namn]],E:E)</f>
        <v>2</v>
      </c>
      <c r="R256" s="97">
        <f>SUMIF(B:B,Table1[[#This Row],[Namn]],F:F)</f>
        <v>1</v>
      </c>
    </row>
    <row r="257" spans="1:18" x14ac:dyDescent="0.25">
      <c r="A257" s="97">
        <v>2017</v>
      </c>
      <c r="B257" s="98" t="s">
        <v>119</v>
      </c>
      <c r="C257" s="97">
        <v>10</v>
      </c>
      <c r="D257" s="99">
        <f>IFERROR(Table1[[#This Row],[MAT]]/Table1[[#This Row],[LAG MATCH]],"")</f>
        <v>0.625</v>
      </c>
      <c r="E257" s="97">
        <v>0</v>
      </c>
      <c r="F257" s="97">
        <v>0</v>
      </c>
      <c r="G257" s="97">
        <v>1</v>
      </c>
      <c r="H257" s="97">
        <v>16</v>
      </c>
      <c r="I257" s="100">
        <f t="shared" si="9"/>
        <v>0.1</v>
      </c>
      <c r="J257" s="97">
        <f>Table1[[#This Row],[ÅR]]</f>
        <v>2017</v>
      </c>
      <c r="K257" s="97">
        <v>2001</v>
      </c>
      <c r="L257" s="97">
        <f>Table1[[#This Row],[ÅR]]-Table1[[#This Row],[FÖDD]]</f>
        <v>16</v>
      </c>
      <c r="M257" s="97">
        <v>3</v>
      </c>
      <c r="N257" s="97">
        <f>SUMIF(B:B,Table1[[#This Row],[Namn]],C:C)</f>
        <v>12</v>
      </c>
      <c r="O257" s="97">
        <f>COUNTIF(B:B,Table1[[#This Row],[Namn]])</f>
        <v>2</v>
      </c>
      <c r="P257" s="97">
        <f>SUMIF(B:B,Table1[[#This Row],[Namn]],G:G)</f>
        <v>1</v>
      </c>
      <c r="Q257" s="97">
        <f>SUMIF(B:B,Table1[[#This Row],[Namn]],E:E)</f>
        <v>0</v>
      </c>
      <c r="R257" s="97">
        <f>SUMIF(B:B,Table1[[#This Row],[Namn]],F:F)</f>
        <v>0</v>
      </c>
    </row>
    <row r="258" spans="1:18" x14ac:dyDescent="0.25">
      <c r="A258" s="97">
        <v>2017</v>
      </c>
      <c r="B258" s="98" t="s">
        <v>120</v>
      </c>
      <c r="C258" s="97">
        <v>10</v>
      </c>
      <c r="D258" s="99">
        <f>IFERROR(Table1[[#This Row],[MAT]]/Table1[[#This Row],[LAG MATCH]],"")</f>
        <v>0.625</v>
      </c>
      <c r="E258" s="97">
        <v>0</v>
      </c>
      <c r="F258" s="97">
        <v>0</v>
      </c>
      <c r="G258" s="97">
        <v>1</v>
      </c>
      <c r="H258" s="97">
        <v>16</v>
      </c>
      <c r="I258" s="100">
        <f t="shared" si="9"/>
        <v>0.1</v>
      </c>
      <c r="J258" s="97">
        <f>Table1[[#This Row],[ÅR]]</f>
        <v>2017</v>
      </c>
      <c r="K258" s="97">
        <v>1994</v>
      </c>
      <c r="L258" s="97">
        <f>Table1[[#This Row],[ÅR]]-Table1[[#This Row],[FÖDD]]</f>
        <v>23</v>
      </c>
      <c r="M258" s="97">
        <v>3</v>
      </c>
      <c r="N258" s="97">
        <f>SUMIF(B:B,Table1[[#This Row],[Namn]],C:C)</f>
        <v>13</v>
      </c>
      <c r="O258" s="97">
        <f>COUNTIF(B:B,Table1[[#This Row],[Namn]])</f>
        <v>2</v>
      </c>
      <c r="P258" s="97">
        <f>SUMIF(B:B,Table1[[#This Row],[Namn]],G:G)</f>
        <v>6</v>
      </c>
      <c r="Q258" s="97">
        <f>SUMIF(B:B,Table1[[#This Row],[Namn]],E:E)</f>
        <v>0</v>
      </c>
      <c r="R258" s="97">
        <f>SUMIF(B:B,Table1[[#This Row],[Namn]],F:F)</f>
        <v>0</v>
      </c>
    </row>
    <row r="259" spans="1:18" x14ac:dyDescent="0.25">
      <c r="A259" s="97">
        <v>2017</v>
      </c>
      <c r="B259" s="98" t="s">
        <v>121</v>
      </c>
      <c r="C259" s="97">
        <v>10</v>
      </c>
      <c r="D259" s="99">
        <f>IFERROR(Table1[[#This Row],[MAT]]/Table1[[#This Row],[LAG MATCH]],"")</f>
        <v>0.625</v>
      </c>
      <c r="E259" s="97">
        <v>0</v>
      </c>
      <c r="F259" s="97">
        <v>0</v>
      </c>
      <c r="G259" s="97">
        <v>0</v>
      </c>
      <c r="H259" s="97">
        <v>16</v>
      </c>
      <c r="I259" s="100">
        <f t="shared" si="9"/>
        <v>0</v>
      </c>
      <c r="J259" s="97">
        <f>Table1[[#This Row],[ÅR]]</f>
        <v>2017</v>
      </c>
      <c r="K259" s="97">
        <v>1999</v>
      </c>
      <c r="L259" s="97">
        <f>Table1[[#This Row],[ÅR]]-Table1[[#This Row],[FÖDD]]</f>
        <v>18</v>
      </c>
      <c r="M259" s="97">
        <v>3</v>
      </c>
      <c r="N259" s="97">
        <f>SUMIF(B:B,Table1[[#This Row],[Namn]],C:C)</f>
        <v>17</v>
      </c>
      <c r="O259" s="97">
        <f>COUNTIF(B:B,Table1[[#This Row],[Namn]])</f>
        <v>2</v>
      </c>
      <c r="P259" s="97">
        <f>SUMIF(B:B,Table1[[#This Row],[Namn]],G:G)</f>
        <v>0</v>
      </c>
      <c r="Q259" s="97">
        <f>SUMIF(B:B,Table1[[#This Row],[Namn]],E:E)</f>
        <v>0</v>
      </c>
      <c r="R259" s="97">
        <f>SUMIF(B:B,Table1[[#This Row],[Namn]],F:F)</f>
        <v>0</v>
      </c>
    </row>
    <row r="260" spans="1:18" x14ac:dyDescent="0.25">
      <c r="A260" s="97">
        <v>2017</v>
      </c>
      <c r="B260" s="98" t="s">
        <v>56</v>
      </c>
      <c r="C260" s="97">
        <v>9</v>
      </c>
      <c r="D260" s="99">
        <f>IFERROR(Table1[[#This Row],[MAT]]/Table1[[#This Row],[LAG MATCH]],"")</f>
        <v>0.5625</v>
      </c>
      <c r="E260" s="97">
        <v>0</v>
      </c>
      <c r="F260" s="97">
        <v>0</v>
      </c>
      <c r="G260" s="97">
        <v>0</v>
      </c>
      <c r="H260" s="97">
        <v>16</v>
      </c>
      <c r="I260" s="100">
        <f t="shared" si="9"/>
        <v>0</v>
      </c>
      <c r="J260" s="97">
        <f>Table1[[#This Row],[ÅR]]</f>
        <v>2017</v>
      </c>
      <c r="K260" s="97">
        <v>2002</v>
      </c>
      <c r="L260" s="97">
        <f>Table1[[#This Row],[ÅR]]-Table1[[#This Row],[FÖDD]]</f>
        <v>15</v>
      </c>
      <c r="M260" s="97">
        <v>3</v>
      </c>
      <c r="N260" s="97">
        <f>SUMIF(B:B,Table1[[#This Row],[Namn]],C:C)</f>
        <v>151</v>
      </c>
      <c r="O260" s="97">
        <f>COUNTIF(B:B,Table1[[#This Row],[Namn]])</f>
        <v>8</v>
      </c>
      <c r="P260" s="97">
        <f>SUMIF(B:B,Table1[[#This Row],[Namn]],G:G)</f>
        <v>29</v>
      </c>
      <c r="Q260" s="97">
        <f>SUMIF(B:B,Table1[[#This Row],[Namn]],E:E)</f>
        <v>9</v>
      </c>
      <c r="R260" s="97">
        <f>SUMIF(B:B,Table1[[#This Row],[Namn]],F:F)</f>
        <v>0</v>
      </c>
    </row>
    <row r="261" spans="1:18" x14ac:dyDescent="0.25">
      <c r="A261" s="97">
        <v>2017</v>
      </c>
      <c r="B261" s="98" t="s">
        <v>105</v>
      </c>
      <c r="C261" s="97">
        <v>8</v>
      </c>
      <c r="D261" s="99">
        <f>IFERROR(Table1[[#This Row],[MAT]]/Table1[[#This Row],[LAG MATCH]],"")</f>
        <v>0.5</v>
      </c>
      <c r="E261" s="97">
        <v>1</v>
      </c>
      <c r="F261" s="97">
        <v>0</v>
      </c>
      <c r="G261" s="97">
        <v>10</v>
      </c>
      <c r="H261" s="97">
        <v>16</v>
      </c>
      <c r="I261" s="100">
        <f t="shared" si="9"/>
        <v>1.25</v>
      </c>
      <c r="J261" s="97">
        <f>Table1[[#This Row],[ÅR]]</f>
        <v>2017</v>
      </c>
      <c r="K261" s="97">
        <v>1985</v>
      </c>
      <c r="L261" s="97">
        <f>Table1[[#This Row],[ÅR]]-Table1[[#This Row],[FÖDD]]</f>
        <v>32</v>
      </c>
      <c r="M261" s="97">
        <v>3</v>
      </c>
      <c r="N261" s="97">
        <f>SUMIF(B:B,Table1[[#This Row],[Namn]],C:C)</f>
        <v>48</v>
      </c>
      <c r="O261" s="97">
        <f>COUNTIF(B:B,Table1[[#This Row],[Namn]])</f>
        <v>3</v>
      </c>
      <c r="P261" s="97">
        <f>SUMIF(B:B,Table1[[#This Row],[Namn]],G:G)</f>
        <v>53</v>
      </c>
      <c r="Q261" s="97">
        <f>SUMIF(B:B,Table1[[#This Row],[Namn]],E:E)</f>
        <v>7</v>
      </c>
      <c r="R261" s="97">
        <f>SUMIF(B:B,Table1[[#This Row],[Namn]],F:F)</f>
        <v>0</v>
      </c>
    </row>
    <row r="262" spans="1:18" x14ac:dyDescent="0.25">
      <c r="A262" s="97">
        <v>2017</v>
      </c>
      <c r="B262" s="98" t="s">
        <v>122</v>
      </c>
      <c r="C262" s="97">
        <v>8</v>
      </c>
      <c r="D262" s="99">
        <f>IFERROR(Table1[[#This Row],[MAT]]/Table1[[#This Row],[LAG MATCH]],"")</f>
        <v>0.5</v>
      </c>
      <c r="E262" s="97">
        <v>0</v>
      </c>
      <c r="F262" s="97">
        <v>0</v>
      </c>
      <c r="G262" s="97">
        <v>0</v>
      </c>
      <c r="H262" s="97">
        <v>16</v>
      </c>
      <c r="I262" s="100">
        <f t="shared" si="9"/>
        <v>0</v>
      </c>
      <c r="J262" s="97">
        <f>Table1[[#This Row],[ÅR]]</f>
        <v>2017</v>
      </c>
      <c r="K262" s="97">
        <v>1998</v>
      </c>
      <c r="L262" s="97">
        <f>Table1[[#This Row],[ÅR]]-Table1[[#This Row],[FÖDD]]</f>
        <v>19</v>
      </c>
      <c r="M262" s="97">
        <v>3</v>
      </c>
      <c r="N262" s="97">
        <f>SUMIF(B:B,Table1[[#This Row],[Namn]],C:C)</f>
        <v>20</v>
      </c>
      <c r="O262" s="97">
        <f>COUNTIF(B:B,Table1[[#This Row],[Namn]])</f>
        <v>2</v>
      </c>
      <c r="P262" s="97">
        <f>SUMIF(B:B,Table1[[#This Row],[Namn]],G:G)</f>
        <v>0</v>
      </c>
      <c r="Q262" s="97">
        <f>SUMIF(B:B,Table1[[#This Row],[Namn]],E:E)</f>
        <v>0</v>
      </c>
      <c r="R262" s="97">
        <f>SUMIF(B:B,Table1[[#This Row],[Namn]],F:F)</f>
        <v>0</v>
      </c>
    </row>
    <row r="263" spans="1:18" x14ac:dyDescent="0.25">
      <c r="A263" s="97">
        <v>2017</v>
      </c>
      <c r="B263" s="98" t="s">
        <v>123</v>
      </c>
      <c r="C263" s="97">
        <v>7</v>
      </c>
      <c r="D263" s="99">
        <f>IFERROR(Table1[[#This Row],[MAT]]/Table1[[#This Row],[LAG MATCH]],"")</f>
        <v>0.4375</v>
      </c>
      <c r="E263" s="97">
        <v>0</v>
      </c>
      <c r="F263" s="97">
        <v>0</v>
      </c>
      <c r="G263" s="97">
        <v>1</v>
      </c>
      <c r="H263" s="97">
        <v>16</v>
      </c>
      <c r="I263" s="100">
        <f t="shared" si="9"/>
        <v>0.14285714285714285</v>
      </c>
      <c r="J263" s="97">
        <f>Table1[[#This Row],[ÅR]]</f>
        <v>2017</v>
      </c>
      <c r="K263" s="97">
        <v>2001</v>
      </c>
      <c r="L263" s="97">
        <f>Table1[[#This Row],[ÅR]]-Table1[[#This Row],[FÖDD]]</f>
        <v>16</v>
      </c>
      <c r="M263" s="97">
        <v>3</v>
      </c>
      <c r="N263" s="97">
        <f>SUMIF(B:B,Table1[[#This Row],[Namn]],C:C)</f>
        <v>7</v>
      </c>
      <c r="O263" s="97">
        <f>COUNTIF(B:B,Table1[[#This Row],[Namn]])</f>
        <v>1</v>
      </c>
      <c r="P263" s="97">
        <f>SUMIF(B:B,Table1[[#This Row],[Namn]],G:G)</f>
        <v>1</v>
      </c>
      <c r="Q263" s="97">
        <f>SUMIF(B:B,Table1[[#This Row],[Namn]],E:E)</f>
        <v>0</v>
      </c>
      <c r="R263" s="97">
        <f>SUMIF(B:B,Table1[[#This Row],[Namn]],F:F)</f>
        <v>0</v>
      </c>
    </row>
    <row r="264" spans="1:18" x14ac:dyDescent="0.25">
      <c r="A264" s="97">
        <v>2017</v>
      </c>
      <c r="B264" s="98" t="s">
        <v>124</v>
      </c>
      <c r="C264" s="97">
        <v>7</v>
      </c>
      <c r="D264" s="99">
        <f>IFERROR(Table1[[#This Row],[MAT]]/Table1[[#This Row],[LAG MATCH]],"")</f>
        <v>0.4375</v>
      </c>
      <c r="E264" s="97">
        <v>1</v>
      </c>
      <c r="F264" s="97">
        <v>0</v>
      </c>
      <c r="G264" s="97">
        <v>0</v>
      </c>
      <c r="H264" s="97">
        <v>16</v>
      </c>
      <c r="I264" s="100">
        <f t="shared" si="9"/>
        <v>0</v>
      </c>
      <c r="J264" s="97">
        <f>Table1[[#This Row],[ÅR]]</f>
        <v>2017</v>
      </c>
      <c r="K264" s="97">
        <v>1993</v>
      </c>
      <c r="L264" s="97">
        <f>Table1[[#This Row],[ÅR]]-Table1[[#This Row],[FÖDD]]</f>
        <v>24</v>
      </c>
      <c r="M264" s="97">
        <v>3</v>
      </c>
      <c r="N264" s="97">
        <f>SUMIF(B:B,Table1[[#This Row],[Namn]],C:C)</f>
        <v>18</v>
      </c>
      <c r="O264" s="97">
        <f>COUNTIF(B:B,Table1[[#This Row],[Namn]])</f>
        <v>2</v>
      </c>
      <c r="P264" s="97">
        <f>SUMIF(B:B,Table1[[#This Row],[Namn]],G:G)</f>
        <v>0</v>
      </c>
      <c r="Q264" s="97">
        <f>SUMIF(B:B,Table1[[#This Row],[Namn]],E:E)</f>
        <v>1</v>
      </c>
      <c r="R264" s="97">
        <f>SUMIF(B:B,Table1[[#This Row],[Namn]],F:F)</f>
        <v>0</v>
      </c>
    </row>
    <row r="265" spans="1:18" x14ac:dyDescent="0.25">
      <c r="A265" s="97">
        <v>2017</v>
      </c>
      <c r="B265" s="98" t="s">
        <v>125</v>
      </c>
      <c r="C265" s="97">
        <v>4</v>
      </c>
      <c r="D265" s="99">
        <f>IFERROR(Table1[[#This Row],[MAT]]/Table1[[#This Row],[LAG MATCH]],"")</f>
        <v>0.25</v>
      </c>
      <c r="E265" s="97">
        <v>0</v>
      </c>
      <c r="F265" s="97">
        <v>0</v>
      </c>
      <c r="G265" s="97">
        <v>1</v>
      </c>
      <c r="H265" s="97">
        <v>16</v>
      </c>
      <c r="I265" s="100">
        <f t="shared" si="9"/>
        <v>0.25</v>
      </c>
      <c r="J265" s="97">
        <f>Table1[[#This Row],[ÅR]]</f>
        <v>2017</v>
      </c>
      <c r="K265" s="97">
        <v>1992</v>
      </c>
      <c r="L265" s="97">
        <f>Table1[[#This Row],[ÅR]]-Table1[[#This Row],[FÖDD]]</f>
        <v>25</v>
      </c>
      <c r="M265" s="97">
        <v>3</v>
      </c>
      <c r="N265" s="97">
        <f>SUMIF(B:B,Table1[[#This Row],[Namn]],C:C)</f>
        <v>7</v>
      </c>
      <c r="O265" s="97">
        <f>COUNTIF(B:B,Table1[[#This Row],[Namn]])</f>
        <v>2</v>
      </c>
      <c r="P265" s="97">
        <f>SUMIF(B:B,Table1[[#This Row],[Namn]],G:G)</f>
        <v>2</v>
      </c>
      <c r="Q265" s="97">
        <f>SUMIF(B:B,Table1[[#This Row],[Namn]],E:E)</f>
        <v>0</v>
      </c>
      <c r="R265" s="97">
        <f>SUMIF(B:B,Table1[[#This Row],[Namn]],F:F)</f>
        <v>0</v>
      </c>
    </row>
    <row r="266" spans="1:18" x14ac:dyDescent="0.25">
      <c r="A266" s="97">
        <v>2017</v>
      </c>
      <c r="B266" s="98" t="s">
        <v>126</v>
      </c>
      <c r="C266" s="97">
        <v>4</v>
      </c>
      <c r="D266" s="99">
        <f>IFERROR(Table1[[#This Row],[MAT]]/Table1[[#This Row],[LAG MATCH]],"")</f>
        <v>0.25</v>
      </c>
      <c r="E266" s="97">
        <v>0</v>
      </c>
      <c r="F266" s="97">
        <v>0</v>
      </c>
      <c r="G266" s="97">
        <v>0</v>
      </c>
      <c r="H266" s="97">
        <v>16</v>
      </c>
      <c r="I266" s="100">
        <f t="shared" si="9"/>
        <v>0</v>
      </c>
      <c r="J266" s="97">
        <f>Table1[[#This Row],[ÅR]]</f>
        <v>2017</v>
      </c>
      <c r="K266" s="97">
        <v>1998</v>
      </c>
      <c r="L266" s="97">
        <f>Table1[[#This Row],[ÅR]]-Table1[[#This Row],[FÖDD]]</f>
        <v>19</v>
      </c>
      <c r="M266" s="97">
        <v>3</v>
      </c>
      <c r="N266" s="97">
        <f>SUMIF(B:B,Table1[[#This Row],[Namn]],C:C)</f>
        <v>4</v>
      </c>
      <c r="O266" s="97">
        <f>COUNTIF(B:B,Table1[[#This Row],[Namn]])</f>
        <v>1</v>
      </c>
      <c r="P266" s="97">
        <f>SUMIF(B:B,Table1[[#This Row],[Namn]],G:G)</f>
        <v>0</v>
      </c>
      <c r="Q266" s="97">
        <f>SUMIF(B:B,Table1[[#This Row],[Namn]],E:E)</f>
        <v>0</v>
      </c>
      <c r="R266" s="97">
        <f>SUMIF(B:B,Table1[[#This Row],[Namn]],F:F)</f>
        <v>0</v>
      </c>
    </row>
    <row r="267" spans="1:18" x14ac:dyDescent="0.25">
      <c r="A267" s="97">
        <v>2017</v>
      </c>
      <c r="B267" s="98" t="s">
        <v>102</v>
      </c>
      <c r="C267" s="97">
        <v>3</v>
      </c>
      <c r="D267" s="99">
        <f>IFERROR(Table1[[#This Row],[MAT]]/Table1[[#This Row],[LAG MATCH]],"")</f>
        <v>0.1875</v>
      </c>
      <c r="E267" s="97">
        <v>0</v>
      </c>
      <c r="F267" s="97">
        <v>0</v>
      </c>
      <c r="G267" s="97">
        <v>0</v>
      </c>
      <c r="H267" s="97">
        <v>16</v>
      </c>
      <c r="I267" s="100">
        <f t="shared" si="9"/>
        <v>0</v>
      </c>
      <c r="J267" s="97">
        <f>Table1[[#This Row],[ÅR]]</f>
        <v>2017</v>
      </c>
      <c r="K267" s="97">
        <v>2003</v>
      </c>
      <c r="L267" s="97">
        <f>Table1[[#This Row],[ÅR]]-Table1[[#This Row],[FÖDD]]</f>
        <v>14</v>
      </c>
      <c r="M267" s="97">
        <v>3</v>
      </c>
      <c r="N267" s="97">
        <f>SUMIF(B:B,Table1[[#This Row],[Namn]],C:C)</f>
        <v>16</v>
      </c>
      <c r="O267" s="97">
        <f>COUNTIF(B:B,Table1[[#This Row],[Namn]])</f>
        <v>3</v>
      </c>
      <c r="P267" s="97">
        <f>SUMIF(B:B,Table1[[#This Row],[Namn]],G:G)</f>
        <v>0</v>
      </c>
      <c r="Q267" s="97">
        <f>SUMIF(B:B,Table1[[#This Row],[Namn]],E:E)</f>
        <v>0</v>
      </c>
      <c r="R267" s="97">
        <f>SUMIF(B:B,Table1[[#This Row],[Namn]],F:F)</f>
        <v>0</v>
      </c>
    </row>
    <row r="268" spans="1:18" x14ac:dyDescent="0.25">
      <c r="A268" s="97">
        <v>2017</v>
      </c>
      <c r="B268" s="98" t="s">
        <v>86</v>
      </c>
      <c r="C268" s="97">
        <v>1</v>
      </c>
      <c r="D268" s="99">
        <f>IFERROR(Table1[[#This Row],[MAT]]/Table1[[#This Row],[LAG MATCH]],"")</f>
        <v>6.25E-2</v>
      </c>
      <c r="E268" s="97">
        <v>0</v>
      </c>
      <c r="F268" s="97">
        <v>0</v>
      </c>
      <c r="G268" s="97">
        <v>0</v>
      </c>
      <c r="H268" s="97">
        <v>16</v>
      </c>
      <c r="I268" s="100">
        <f t="shared" si="9"/>
        <v>0</v>
      </c>
      <c r="J268" s="97">
        <f>Table1[[#This Row],[ÅR]]</f>
        <v>2017</v>
      </c>
      <c r="K268" s="97">
        <v>2003</v>
      </c>
      <c r="L268" s="97">
        <f>Table1[[#This Row],[ÅR]]-Table1[[#This Row],[FÖDD]]</f>
        <v>14</v>
      </c>
      <c r="M268" s="97">
        <v>3</v>
      </c>
      <c r="N268" s="97">
        <f>SUMIF(B:B,Table1[[#This Row],[Namn]],C:C)</f>
        <v>27</v>
      </c>
      <c r="O268" s="97">
        <f>COUNTIF(B:B,Table1[[#This Row],[Namn]])</f>
        <v>5</v>
      </c>
      <c r="P268" s="97">
        <f>SUMIF(B:B,Table1[[#This Row],[Namn]],G:G)</f>
        <v>1</v>
      </c>
      <c r="Q268" s="97">
        <f>SUMIF(B:B,Table1[[#This Row],[Namn]],E:E)</f>
        <v>0</v>
      </c>
      <c r="R268" s="97">
        <f>SUMIF(B:B,Table1[[#This Row],[Namn]],F:F)</f>
        <v>0</v>
      </c>
    </row>
    <row r="269" spans="1:18" x14ac:dyDescent="0.25">
      <c r="A269" s="97">
        <v>2017</v>
      </c>
      <c r="B269" s="98" t="s">
        <v>127</v>
      </c>
      <c r="C269" s="97">
        <v>1</v>
      </c>
      <c r="D269" s="99">
        <f>IFERROR(Table1[[#This Row],[MAT]]/Table1[[#This Row],[LAG MATCH]],"")</f>
        <v>6.25E-2</v>
      </c>
      <c r="E269" s="97">
        <v>0</v>
      </c>
      <c r="F269" s="97">
        <v>0</v>
      </c>
      <c r="G269" s="97">
        <v>0</v>
      </c>
      <c r="H269" s="97">
        <v>16</v>
      </c>
      <c r="I269" s="100">
        <f t="shared" si="9"/>
        <v>0</v>
      </c>
      <c r="J269" s="97">
        <f>Table1[[#This Row],[ÅR]]</f>
        <v>2017</v>
      </c>
      <c r="K269" s="97">
        <v>2003</v>
      </c>
      <c r="L269" s="97">
        <f>Table1[[#This Row],[ÅR]]-Table1[[#This Row],[FÖDD]]</f>
        <v>14</v>
      </c>
      <c r="M269" s="97">
        <v>3</v>
      </c>
      <c r="N269" s="97">
        <f>SUMIF(B:B,Table1[[#This Row],[Namn]],C:C)</f>
        <v>1</v>
      </c>
      <c r="O269" s="97">
        <f>COUNTIF(B:B,Table1[[#This Row],[Namn]])</f>
        <v>1</v>
      </c>
      <c r="P269" s="97">
        <f>SUMIF(B:B,Table1[[#This Row],[Namn]],G:G)</f>
        <v>0</v>
      </c>
      <c r="Q269" s="97">
        <f>SUMIF(B:B,Table1[[#This Row],[Namn]],E:E)</f>
        <v>0</v>
      </c>
      <c r="R269" s="97">
        <f>SUMIF(B:B,Table1[[#This Row],[Namn]],F:F)</f>
        <v>0</v>
      </c>
    </row>
    <row r="270" spans="1:18" x14ac:dyDescent="0.25">
      <c r="A270" s="97">
        <v>2017</v>
      </c>
      <c r="B270" s="98" t="s">
        <v>128</v>
      </c>
      <c r="C270" s="97">
        <v>1</v>
      </c>
      <c r="D270" s="99">
        <f>IFERROR(Table1[[#This Row],[MAT]]/Table1[[#This Row],[LAG MATCH]],"")</f>
        <v>6.25E-2</v>
      </c>
      <c r="E270" s="97">
        <v>0</v>
      </c>
      <c r="F270" s="97">
        <v>0</v>
      </c>
      <c r="G270" s="97">
        <v>0</v>
      </c>
      <c r="H270" s="97">
        <v>16</v>
      </c>
      <c r="I270" s="100">
        <f t="shared" si="9"/>
        <v>0</v>
      </c>
      <c r="J270" s="97">
        <f>Table1[[#This Row],[ÅR]]</f>
        <v>2017</v>
      </c>
      <c r="K270" s="97">
        <v>2002</v>
      </c>
      <c r="L270" s="97">
        <f>Table1[[#This Row],[ÅR]]-Table1[[#This Row],[FÖDD]]</f>
        <v>15</v>
      </c>
      <c r="M270" s="97">
        <v>3</v>
      </c>
      <c r="N270" s="97">
        <f>SUMIF(B:B,Table1[[#This Row],[Namn]],C:C)</f>
        <v>1</v>
      </c>
      <c r="O270" s="97">
        <f>COUNTIF(B:B,Table1[[#This Row],[Namn]])</f>
        <v>1</v>
      </c>
      <c r="P270" s="97">
        <f>SUMIF(B:B,Table1[[#This Row],[Namn]],G:G)</f>
        <v>0</v>
      </c>
      <c r="Q270" s="97">
        <f>SUMIF(B:B,Table1[[#This Row],[Namn]],E:E)</f>
        <v>0</v>
      </c>
      <c r="R270" s="97">
        <f>SUMIF(B:B,Table1[[#This Row],[Namn]],F:F)</f>
        <v>0</v>
      </c>
    </row>
    <row r="271" spans="1:18" x14ac:dyDescent="0.25">
      <c r="A271" s="97">
        <v>2017</v>
      </c>
      <c r="B271" s="98" t="s">
        <v>129</v>
      </c>
      <c r="C271" s="97">
        <v>1</v>
      </c>
      <c r="D271" s="99">
        <f>IFERROR(Table1[[#This Row],[MAT]]/Table1[[#This Row],[LAG MATCH]],"")</f>
        <v>6.25E-2</v>
      </c>
      <c r="E271" s="97">
        <v>0</v>
      </c>
      <c r="F271" s="97">
        <v>0</v>
      </c>
      <c r="G271" s="97">
        <v>0</v>
      </c>
      <c r="H271" s="97">
        <v>16</v>
      </c>
      <c r="I271" s="100">
        <f t="shared" si="9"/>
        <v>0</v>
      </c>
      <c r="J271" s="97">
        <f>Table1[[#This Row],[ÅR]]</f>
        <v>2017</v>
      </c>
      <c r="K271" s="97">
        <v>1999</v>
      </c>
      <c r="L271" s="97">
        <f>Table1[[#This Row],[ÅR]]-Table1[[#This Row],[FÖDD]]</f>
        <v>18</v>
      </c>
      <c r="M271" s="97">
        <v>3</v>
      </c>
      <c r="N271" s="97">
        <f>SUMIF(B:B,Table1[[#This Row],[Namn]],C:C)</f>
        <v>17</v>
      </c>
      <c r="O271" s="97">
        <f>COUNTIF(B:B,Table1[[#This Row],[Namn]])</f>
        <v>2</v>
      </c>
      <c r="P271" s="97">
        <f>SUMIF(B:B,Table1[[#This Row],[Namn]],G:G)</f>
        <v>1</v>
      </c>
      <c r="Q271" s="97">
        <f>SUMIF(B:B,Table1[[#This Row],[Namn]],E:E)</f>
        <v>0</v>
      </c>
      <c r="R271" s="97">
        <f>SUMIF(B:B,Table1[[#This Row],[Namn]],F:F)</f>
        <v>0</v>
      </c>
    </row>
    <row r="272" spans="1:18" x14ac:dyDescent="0.25">
      <c r="A272" s="97">
        <v>2017</v>
      </c>
      <c r="B272" s="98" t="s">
        <v>130</v>
      </c>
      <c r="C272" s="97">
        <v>1</v>
      </c>
      <c r="D272" s="99">
        <f>IFERROR(Table1[[#This Row],[MAT]]/Table1[[#This Row],[LAG MATCH]],"")</f>
        <v>6.25E-2</v>
      </c>
      <c r="E272" s="97">
        <v>0</v>
      </c>
      <c r="F272" s="97">
        <v>0</v>
      </c>
      <c r="G272" s="97">
        <v>0</v>
      </c>
      <c r="H272" s="97">
        <v>16</v>
      </c>
      <c r="I272" s="100">
        <f t="shared" si="9"/>
        <v>0</v>
      </c>
      <c r="J272" s="97">
        <f>Table1[[#This Row],[ÅR]]</f>
        <v>2017</v>
      </c>
      <c r="K272" s="97">
        <v>1999</v>
      </c>
      <c r="L272" s="97">
        <f>Table1[[#This Row],[ÅR]]-Table1[[#This Row],[FÖDD]]</f>
        <v>18</v>
      </c>
      <c r="M272" s="97">
        <v>3</v>
      </c>
      <c r="N272" s="97">
        <f>SUMIF(B:B,Table1[[#This Row],[Namn]],C:C)</f>
        <v>13</v>
      </c>
      <c r="O272" s="97">
        <f>COUNTIF(B:B,Table1[[#This Row],[Namn]])</f>
        <v>2</v>
      </c>
      <c r="P272" s="97">
        <f>SUMIF(B:B,Table1[[#This Row],[Namn]],G:G)</f>
        <v>2</v>
      </c>
      <c r="Q272" s="97">
        <f>SUMIF(B:B,Table1[[#This Row],[Namn]],E:E)</f>
        <v>0</v>
      </c>
      <c r="R272" s="97">
        <f>SUMIF(B:B,Table1[[#This Row],[Namn]],F:F)</f>
        <v>0</v>
      </c>
    </row>
    <row r="273" spans="1:18" x14ac:dyDescent="0.25">
      <c r="A273" s="97">
        <v>2017</v>
      </c>
      <c r="B273" s="98" t="s">
        <v>131</v>
      </c>
      <c r="C273" s="97">
        <v>1</v>
      </c>
      <c r="D273" s="99">
        <f>IFERROR(Table1[[#This Row],[MAT]]/Table1[[#This Row],[LAG MATCH]],"")</f>
        <v>6.25E-2</v>
      </c>
      <c r="E273" s="97">
        <v>0</v>
      </c>
      <c r="F273" s="97">
        <v>0</v>
      </c>
      <c r="G273" s="97">
        <v>0</v>
      </c>
      <c r="H273" s="97">
        <v>16</v>
      </c>
      <c r="I273" s="100">
        <f t="shared" si="9"/>
        <v>0</v>
      </c>
      <c r="J273" s="97">
        <f>Table1[[#This Row],[ÅR]]</f>
        <v>2017</v>
      </c>
      <c r="K273" s="97">
        <v>1996</v>
      </c>
      <c r="L273" s="97">
        <f>Table1[[#This Row],[ÅR]]-Table1[[#This Row],[FÖDD]]</f>
        <v>21</v>
      </c>
      <c r="M273" s="97">
        <v>3</v>
      </c>
      <c r="N273" s="97">
        <f>SUMIF(B:B,Table1[[#This Row],[Namn]],C:C)</f>
        <v>13</v>
      </c>
      <c r="O273" s="97">
        <f>COUNTIF(B:B,Table1[[#This Row],[Namn]])</f>
        <v>2</v>
      </c>
      <c r="P273" s="97">
        <f>SUMIF(B:B,Table1[[#This Row],[Namn]],G:G)</f>
        <v>13</v>
      </c>
      <c r="Q273" s="97">
        <f>SUMIF(B:B,Table1[[#This Row],[Namn]],E:E)</f>
        <v>0</v>
      </c>
      <c r="R273" s="97">
        <f>SUMIF(B:B,Table1[[#This Row],[Namn]],F:F)</f>
        <v>0</v>
      </c>
    </row>
    <row r="274" spans="1:18" x14ac:dyDescent="0.25">
      <c r="A274" s="97">
        <v>2016</v>
      </c>
      <c r="B274" s="98" t="s">
        <v>129</v>
      </c>
      <c r="C274" s="97">
        <v>16</v>
      </c>
      <c r="D274" s="99">
        <f>IFERROR(Table1[[#This Row],[MAT]]/Table1[[#This Row],[LAG MATCH]],"")</f>
        <v>1</v>
      </c>
      <c r="E274" s="97">
        <v>0</v>
      </c>
      <c r="F274" s="97">
        <v>0</v>
      </c>
      <c r="G274" s="97">
        <v>1</v>
      </c>
      <c r="H274" s="97">
        <v>16</v>
      </c>
      <c r="I274" s="100">
        <f t="shared" si="9"/>
        <v>6.25E-2</v>
      </c>
      <c r="J274" s="97">
        <f>Table1[[#This Row],[ÅR]]</f>
        <v>2016</v>
      </c>
      <c r="K274" s="97">
        <v>1999</v>
      </c>
      <c r="L274" s="97">
        <f>Table1[[#This Row],[ÅR]]-Table1[[#This Row],[FÖDD]]</f>
        <v>17</v>
      </c>
      <c r="M274" s="97">
        <v>4</v>
      </c>
      <c r="N274" s="97">
        <f>SUMIF(B:B,Table1[[#This Row],[Namn]],C:C)</f>
        <v>17</v>
      </c>
      <c r="O274" s="97">
        <f>COUNTIF(B:B,Table1[[#This Row],[Namn]])</f>
        <v>2</v>
      </c>
      <c r="P274" s="97">
        <f>SUMIF(B:B,Table1[[#This Row],[Namn]],G:G)</f>
        <v>1</v>
      </c>
      <c r="Q274" s="97">
        <f>SUMIF(B:B,Table1[[#This Row],[Namn]],E:E)</f>
        <v>0</v>
      </c>
      <c r="R274" s="97">
        <f>SUMIF(B:B,Table1[[#This Row],[Namn]],F:F)</f>
        <v>0</v>
      </c>
    </row>
    <row r="275" spans="1:18" x14ac:dyDescent="0.25">
      <c r="A275" s="97">
        <v>2016</v>
      </c>
      <c r="B275" s="98" t="s">
        <v>132</v>
      </c>
      <c r="C275" s="97">
        <v>14</v>
      </c>
      <c r="D275" s="99">
        <f>IFERROR(Table1[[#This Row],[MAT]]/Table1[[#This Row],[LAG MATCH]],"")</f>
        <v>0.875</v>
      </c>
      <c r="E275" s="97">
        <v>0</v>
      </c>
      <c r="F275" s="97">
        <v>0</v>
      </c>
      <c r="G275" s="97">
        <v>2</v>
      </c>
      <c r="H275" s="97">
        <v>16</v>
      </c>
      <c r="I275" s="100">
        <f t="shared" si="9"/>
        <v>0.14285714285714285</v>
      </c>
      <c r="J275" s="97">
        <f>Table1[[#This Row],[ÅR]]</f>
        <v>2016</v>
      </c>
      <c r="K275" s="97">
        <v>2000</v>
      </c>
      <c r="L275" s="97">
        <f>Table1[[#This Row],[ÅR]]-Table1[[#This Row],[FÖDD]]</f>
        <v>16</v>
      </c>
      <c r="M275" s="97">
        <v>4</v>
      </c>
      <c r="N275" s="97">
        <f>SUMIF(B:B,Table1[[#This Row],[Namn]],C:C)</f>
        <v>23</v>
      </c>
      <c r="O275" s="97">
        <f>COUNTIF(B:B,Table1[[#This Row],[Namn]])</f>
        <v>2</v>
      </c>
      <c r="P275" s="97">
        <f>SUMIF(B:B,Table1[[#This Row],[Namn]],G:G)</f>
        <v>2</v>
      </c>
      <c r="Q275" s="97">
        <f>SUMIF(B:B,Table1[[#This Row],[Namn]],E:E)</f>
        <v>0</v>
      </c>
      <c r="R275" s="97">
        <f>SUMIF(B:B,Table1[[#This Row],[Namn]],F:F)</f>
        <v>0</v>
      </c>
    </row>
    <row r="276" spans="1:18" x14ac:dyDescent="0.25">
      <c r="A276" s="97">
        <v>2016</v>
      </c>
      <c r="B276" s="98" t="s">
        <v>74</v>
      </c>
      <c r="C276" s="97">
        <v>14</v>
      </c>
      <c r="D276" s="99">
        <f>IFERROR(Table1[[#This Row],[MAT]]/Table1[[#This Row],[LAG MATCH]],"")</f>
        <v>0.875</v>
      </c>
      <c r="E276" s="97">
        <v>0</v>
      </c>
      <c r="F276" s="97">
        <v>0</v>
      </c>
      <c r="G276" s="97">
        <v>1</v>
      </c>
      <c r="H276" s="97">
        <v>16</v>
      </c>
      <c r="I276" s="100">
        <f t="shared" ref="I276:I339" si="10">IFERROR(G276/C276,"")</f>
        <v>7.1428571428571425E-2</v>
      </c>
      <c r="J276" s="97">
        <f>Table1[[#This Row],[ÅR]]</f>
        <v>2016</v>
      </c>
      <c r="K276" s="97">
        <v>1996</v>
      </c>
      <c r="L276" s="97">
        <f>Table1[[#This Row],[ÅR]]-Table1[[#This Row],[FÖDD]]</f>
        <v>20</v>
      </c>
      <c r="M276" s="97">
        <v>4</v>
      </c>
      <c r="N276" s="97">
        <f>SUMIF(B:B,Table1[[#This Row],[Namn]],C:C)</f>
        <v>200</v>
      </c>
      <c r="O276" s="97">
        <f>COUNTIF(B:B,Table1[[#This Row],[Namn]])</f>
        <v>12</v>
      </c>
      <c r="P276" s="97">
        <f>SUMIF(B:B,Table1[[#This Row],[Namn]],G:G)</f>
        <v>9</v>
      </c>
      <c r="Q276" s="97">
        <f>SUMIF(B:B,Table1[[#This Row],[Namn]],E:E)</f>
        <v>1</v>
      </c>
      <c r="R276" s="97">
        <f>SUMIF(B:B,Table1[[#This Row],[Namn]],F:F)</f>
        <v>0</v>
      </c>
    </row>
    <row r="277" spans="1:18" x14ac:dyDescent="0.25">
      <c r="A277" s="97">
        <v>2016</v>
      </c>
      <c r="B277" s="98" t="s">
        <v>101</v>
      </c>
      <c r="C277" s="97">
        <v>14</v>
      </c>
      <c r="D277" s="99">
        <f>IFERROR(Table1[[#This Row],[MAT]]/Table1[[#This Row],[LAG MATCH]],"")</f>
        <v>0.875</v>
      </c>
      <c r="E277" s="97">
        <v>0</v>
      </c>
      <c r="F277" s="97">
        <v>0</v>
      </c>
      <c r="G277" s="97">
        <v>1</v>
      </c>
      <c r="H277" s="97">
        <v>16</v>
      </c>
      <c r="I277" s="100">
        <f t="shared" si="10"/>
        <v>7.1428571428571425E-2</v>
      </c>
      <c r="J277" s="97">
        <f>Table1[[#This Row],[ÅR]]</f>
        <v>2016</v>
      </c>
      <c r="K277" s="97">
        <v>1996</v>
      </c>
      <c r="L277" s="97">
        <f>Table1[[#This Row],[ÅR]]-Table1[[#This Row],[FÖDD]]</f>
        <v>20</v>
      </c>
      <c r="M277" s="97">
        <v>4</v>
      </c>
      <c r="N277" s="97">
        <f>SUMIF(B:B,Table1[[#This Row],[Namn]],C:C)</f>
        <v>121</v>
      </c>
      <c r="O277" s="97">
        <f>COUNTIF(B:B,Table1[[#This Row],[Namn]])</f>
        <v>9</v>
      </c>
      <c r="P277" s="97">
        <f>SUMIF(B:B,Table1[[#This Row],[Namn]],G:G)</f>
        <v>13</v>
      </c>
      <c r="Q277" s="97">
        <f>SUMIF(B:B,Table1[[#This Row],[Namn]],E:E)</f>
        <v>2</v>
      </c>
      <c r="R277" s="97">
        <f>SUMIF(B:B,Table1[[#This Row],[Namn]],F:F)</f>
        <v>1</v>
      </c>
    </row>
    <row r="278" spans="1:18" x14ac:dyDescent="0.25">
      <c r="A278" s="97">
        <v>2016</v>
      </c>
      <c r="B278" s="98" t="s">
        <v>133</v>
      </c>
      <c r="C278" s="97">
        <v>13</v>
      </c>
      <c r="D278" s="99">
        <f>IFERROR(Table1[[#This Row],[MAT]]/Table1[[#This Row],[LAG MATCH]],"")</f>
        <v>0.8125</v>
      </c>
      <c r="E278" s="97">
        <v>0</v>
      </c>
      <c r="F278" s="97">
        <v>0</v>
      </c>
      <c r="G278" s="97">
        <v>20</v>
      </c>
      <c r="H278" s="97">
        <v>16</v>
      </c>
      <c r="I278" s="100">
        <f t="shared" si="10"/>
        <v>1.5384615384615385</v>
      </c>
      <c r="J278" s="97">
        <f>Table1[[#This Row],[ÅR]]</f>
        <v>2016</v>
      </c>
      <c r="K278" s="97">
        <v>1996</v>
      </c>
      <c r="L278" s="97">
        <f>Table1[[#This Row],[ÅR]]-Table1[[#This Row],[FÖDD]]</f>
        <v>20</v>
      </c>
      <c r="M278" s="97">
        <v>4</v>
      </c>
      <c r="N278" s="97">
        <f>SUMIF(B:B,Table1[[#This Row],[Namn]],C:C)</f>
        <v>83</v>
      </c>
      <c r="O278" s="97">
        <f>COUNTIF(B:B,Table1[[#This Row],[Namn]])</f>
        <v>5</v>
      </c>
      <c r="P278" s="97">
        <f>SUMIF(B:B,Table1[[#This Row],[Namn]],G:G)</f>
        <v>119</v>
      </c>
      <c r="Q278" s="97">
        <f>SUMIF(B:B,Table1[[#This Row],[Namn]],E:E)</f>
        <v>0</v>
      </c>
      <c r="R278" s="97">
        <f>SUMIF(B:B,Table1[[#This Row],[Namn]],F:F)</f>
        <v>0</v>
      </c>
    </row>
    <row r="279" spans="1:18" x14ac:dyDescent="0.25">
      <c r="A279" s="97">
        <v>2016</v>
      </c>
      <c r="B279" s="98" t="s">
        <v>111</v>
      </c>
      <c r="C279" s="97">
        <v>13</v>
      </c>
      <c r="D279" s="99">
        <f>IFERROR(Table1[[#This Row],[MAT]]/Table1[[#This Row],[LAG MATCH]],"")</f>
        <v>0.8125</v>
      </c>
      <c r="E279" s="97">
        <v>0</v>
      </c>
      <c r="F279" s="97">
        <v>0</v>
      </c>
      <c r="G279" s="97">
        <v>2</v>
      </c>
      <c r="H279" s="97">
        <v>16</v>
      </c>
      <c r="I279" s="100">
        <f t="shared" si="10"/>
        <v>0.15384615384615385</v>
      </c>
      <c r="J279" s="97">
        <f>Table1[[#This Row],[ÅR]]</f>
        <v>2016</v>
      </c>
      <c r="K279" s="97">
        <v>1995</v>
      </c>
      <c r="L279" s="97">
        <f>Table1[[#This Row],[ÅR]]-Table1[[#This Row],[FÖDD]]</f>
        <v>21</v>
      </c>
      <c r="M279" s="97">
        <v>4</v>
      </c>
      <c r="N279" s="97">
        <f>SUMIF(B:B,Table1[[#This Row],[Namn]],C:C)</f>
        <v>43</v>
      </c>
      <c r="O279" s="97">
        <f>COUNTIF(B:B,Table1[[#This Row],[Namn]])</f>
        <v>3</v>
      </c>
      <c r="P279" s="97">
        <f>SUMIF(B:B,Table1[[#This Row],[Namn]],G:G)</f>
        <v>4</v>
      </c>
      <c r="Q279" s="97">
        <f>SUMIF(B:B,Table1[[#This Row],[Namn]],E:E)</f>
        <v>0</v>
      </c>
      <c r="R279" s="97">
        <f>SUMIF(B:B,Table1[[#This Row],[Namn]],F:F)</f>
        <v>0</v>
      </c>
    </row>
    <row r="280" spans="1:18" x14ac:dyDescent="0.25">
      <c r="A280" s="97">
        <v>2016</v>
      </c>
      <c r="B280" s="98" t="s">
        <v>108</v>
      </c>
      <c r="C280" s="97">
        <v>13</v>
      </c>
      <c r="D280" s="99">
        <f>IFERROR(Table1[[#This Row],[MAT]]/Table1[[#This Row],[LAG MATCH]],"")</f>
        <v>0.8125</v>
      </c>
      <c r="E280" s="97">
        <v>0</v>
      </c>
      <c r="F280" s="97">
        <v>0</v>
      </c>
      <c r="G280" s="97">
        <v>0</v>
      </c>
      <c r="H280" s="97">
        <v>16</v>
      </c>
      <c r="I280" s="100">
        <f t="shared" si="10"/>
        <v>0</v>
      </c>
      <c r="J280" s="97">
        <f>Table1[[#This Row],[ÅR]]</f>
        <v>2016</v>
      </c>
      <c r="K280" s="97">
        <v>2000</v>
      </c>
      <c r="L280" s="97">
        <f>Table1[[#This Row],[ÅR]]-Table1[[#This Row],[FÖDD]]</f>
        <v>16</v>
      </c>
      <c r="M280" s="97">
        <v>4</v>
      </c>
      <c r="N280" s="97">
        <f>SUMIF(B:B,Table1[[#This Row],[Namn]],C:C)</f>
        <v>80</v>
      </c>
      <c r="O280" s="97">
        <f>COUNTIF(B:B,Table1[[#This Row],[Namn]])</f>
        <v>5</v>
      </c>
      <c r="P280" s="97">
        <f>SUMIF(B:B,Table1[[#This Row],[Namn]],G:G)</f>
        <v>0</v>
      </c>
      <c r="Q280" s="97">
        <f>SUMIF(B:B,Table1[[#This Row],[Namn]],E:E)</f>
        <v>1</v>
      </c>
      <c r="R280" s="97">
        <f>SUMIF(B:B,Table1[[#This Row],[Namn]],F:F)</f>
        <v>0</v>
      </c>
    </row>
    <row r="281" spans="1:18" x14ac:dyDescent="0.25">
      <c r="A281" s="97">
        <v>2016</v>
      </c>
      <c r="B281" s="98" t="s">
        <v>134</v>
      </c>
      <c r="C281" s="97">
        <v>12</v>
      </c>
      <c r="D281" s="99">
        <f>IFERROR(Table1[[#This Row],[MAT]]/Table1[[#This Row],[LAG MATCH]],"")</f>
        <v>0.75</v>
      </c>
      <c r="E281" s="97">
        <v>0</v>
      </c>
      <c r="F281" s="97">
        <v>0</v>
      </c>
      <c r="G281" s="97">
        <v>3</v>
      </c>
      <c r="H281" s="97">
        <v>16</v>
      </c>
      <c r="I281" s="100">
        <f t="shared" si="10"/>
        <v>0.25</v>
      </c>
      <c r="J281" s="97">
        <f>Table1[[#This Row],[ÅR]]</f>
        <v>2016</v>
      </c>
      <c r="K281" s="97">
        <v>2000</v>
      </c>
      <c r="L281" s="97">
        <f>Table1[[#This Row],[ÅR]]-Table1[[#This Row],[FÖDD]]</f>
        <v>16</v>
      </c>
      <c r="M281" s="97">
        <v>4</v>
      </c>
      <c r="N281" s="97">
        <f>SUMIF(B:B,Table1[[#This Row],[Namn]],C:C)</f>
        <v>23</v>
      </c>
      <c r="O281" s="97">
        <f>COUNTIF(B:B,Table1[[#This Row],[Namn]])</f>
        <v>2</v>
      </c>
      <c r="P281" s="97">
        <f>SUMIF(B:B,Table1[[#This Row],[Namn]],G:G)</f>
        <v>6</v>
      </c>
      <c r="Q281" s="97">
        <f>SUMIF(B:B,Table1[[#This Row],[Namn]],E:E)</f>
        <v>0</v>
      </c>
      <c r="R281" s="97">
        <f>SUMIF(B:B,Table1[[#This Row],[Namn]],F:F)</f>
        <v>0</v>
      </c>
    </row>
    <row r="282" spans="1:18" x14ac:dyDescent="0.25">
      <c r="A282" s="97">
        <v>2016</v>
      </c>
      <c r="B282" s="98" t="s">
        <v>130</v>
      </c>
      <c r="C282" s="97">
        <v>12</v>
      </c>
      <c r="D282" s="99">
        <f>IFERROR(Table1[[#This Row],[MAT]]/Table1[[#This Row],[LAG MATCH]],"")</f>
        <v>0.75</v>
      </c>
      <c r="E282" s="97">
        <v>0</v>
      </c>
      <c r="F282" s="97">
        <v>0</v>
      </c>
      <c r="G282" s="97">
        <v>2</v>
      </c>
      <c r="H282" s="97">
        <v>16</v>
      </c>
      <c r="I282" s="100">
        <f t="shared" si="10"/>
        <v>0.16666666666666666</v>
      </c>
      <c r="J282" s="97">
        <f>Table1[[#This Row],[ÅR]]</f>
        <v>2016</v>
      </c>
      <c r="K282" s="97">
        <v>1999</v>
      </c>
      <c r="L282" s="97">
        <f>Table1[[#This Row],[ÅR]]-Table1[[#This Row],[FÖDD]]</f>
        <v>17</v>
      </c>
      <c r="M282" s="97">
        <v>4</v>
      </c>
      <c r="N282" s="97">
        <f>SUMIF(B:B,Table1[[#This Row],[Namn]],C:C)</f>
        <v>13</v>
      </c>
      <c r="O282" s="97">
        <f>COUNTIF(B:B,Table1[[#This Row],[Namn]])</f>
        <v>2</v>
      </c>
      <c r="P282" s="97">
        <f>SUMIF(B:B,Table1[[#This Row],[Namn]],G:G)</f>
        <v>2</v>
      </c>
      <c r="Q282" s="97">
        <f>SUMIF(B:B,Table1[[#This Row],[Namn]],E:E)</f>
        <v>0</v>
      </c>
      <c r="R282" s="97">
        <f>SUMIF(B:B,Table1[[#This Row],[Namn]],F:F)</f>
        <v>0</v>
      </c>
    </row>
    <row r="283" spans="1:18" x14ac:dyDescent="0.25">
      <c r="A283" s="97">
        <v>2016</v>
      </c>
      <c r="B283" s="98" t="s">
        <v>122</v>
      </c>
      <c r="C283" s="97">
        <v>12</v>
      </c>
      <c r="D283" s="99">
        <f>IFERROR(Table1[[#This Row],[MAT]]/Table1[[#This Row],[LAG MATCH]],"")</f>
        <v>0.75</v>
      </c>
      <c r="E283" s="97">
        <v>0</v>
      </c>
      <c r="F283" s="97">
        <v>0</v>
      </c>
      <c r="G283" s="97">
        <v>0</v>
      </c>
      <c r="H283" s="97">
        <v>16</v>
      </c>
      <c r="I283" s="100">
        <f t="shared" si="10"/>
        <v>0</v>
      </c>
      <c r="J283" s="97">
        <f>Table1[[#This Row],[ÅR]]</f>
        <v>2016</v>
      </c>
      <c r="K283" s="97">
        <v>1998</v>
      </c>
      <c r="L283" s="97">
        <f>Table1[[#This Row],[ÅR]]-Table1[[#This Row],[FÖDD]]</f>
        <v>18</v>
      </c>
      <c r="M283" s="97">
        <v>4</v>
      </c>
      <c r="N283" s="97">
        <f>SUMIF(B:B,Table1[[#This Row],[Namn]],C:C)</f>
        <v>20</v>
      </c>
      <c r="O283" s="97">
        <f>COUNTIF(B:B,Table1[[#This Row],[Namn]])</f>
        <v>2</v>
      </c>
      <c r="P283" s="97">
        <f>SUMIF(B:B,Table1[[#This Row],[Namn]],G:G)</f>
        <v>0</v>
      </c>
      <c r="Q283" s="97">
        <f>SUMIF(B:B,Table1[[#This Row],[Namn]],E:E)</f>
        <v>0</v>
      </c>
      <c r="R283" s="97">
        <f>SUMIF(B:B,Table1[[#This Row],[Namn]],F:F)</f>
        <v>0</v>
      </c>
    </row>
    <row r="284" spans="1:18" x14ac:dyDescent="0.25">
      <c r="A284" s="97">
        <v>2016</v>
      </c>
      <c r="B284" s="98" t="s">
        <v>135</v>
      </c>
      <c r="C284" s="97">
        <v>11</v>
      </c>
      <c r="D284" s="99">
        <f>IFERROR(Table1[[#This Row],[MAT]]/Table1[[#This Row],[LAG MATCH]],"")</f>
        <v>0.6875</v>
      </c>
      <c r="E284" s="97">
        <v>1</v>
      </c>
      <c r="F284" s="97">
        <v>0</v>
      </c>
      <c r="G284" s="97">
        <v>0</v>
      </c>
      <c r="H284" s="97">
        <v>16</v>
      </c>
      <c r="I284" s="100">
        <f t="shared" si="10"/>
        <v>0</v>
      </c>
      <c r="J284" s="97">
        <f>Table1[[#This Row],[ÅR]]</f>
        <v>2016</v>
      </c>
      <c r="K284" s="97">
        <v>1996</v>
      </c>
      <c r="L284" s="97">
        <f>Table1[[#This Row],[ÅR]]-Table1[[#This Row],[FÖDD]]</f>
        <v>20</v>
      </c>
      <c r="M284" s="97">
        <v>4</v>
      </c>
      <c r="N284" s="97">
        <f>SUMIF(B:B,Table1[[#This Row],[Namn]],C:C)</f>
        <v>60</v>
      </c>
      <c r="O284" s="97">
        <f>COUNTIF(B:B,Table1[[#This Row],[Namn]])</f>
        <v>7</v>
      </c>
      <c r="P284" s="97">
        <f>SUMIF(B:B,Table1[[#This Row],[Namn]],G:G)</f>
        <v>6</v>
      </c>
      <c r="Q284" s="97">
        <f>SUMIF(B:B,Table1[[#This Row],[Namn]],E:E)</f>
        <v>3</v>
      </c>
      <c r="R284" s="97">
        <f>SUMIF(B:B,Table1[[#This Row],[Namn]],F:F)</f>
        <v>0</v>
      </c>
    </row>
    <row r="285" spans="1:18" x14ac:dyDescent="0.25">
      <c r="A285" s="97">
        <v>2016</v>
      </c>
      <c r="B285" s="98" t="s">
        <v>124</v>
      </c>
      <c r="C285" s="97">
        <v>11</v>
      </c>
      <c r="D285" s="99">
        <f>IFERROR(Table1[[#This Row],[MAT]]/Table1[[#This Row],[LAG MATCH]],"")</f>
        <v>0.6875</v>
      </c>
      <c r="E285" s="97">
        <v>0</v>
      </c>
      <c r="F285" s="97">
        <v>0</v>
      </c>
      <c r="G285" s="97">
        <v>0</v>
      </c>
      <c r="H285" s="97">
        <v>16</v>
      </c>
      <c r="I285" s="100">
        <f t="shared" si="10"/>
        <v>0</v>
      </c>
      <c r="J285" s="97">
        <f>Table1[[#This Row],[ÅR]]</f>
        <v>2016</v>
      </c>
      <c r="K285" s="97">
        <v>1993</v>
      </c>
      <c r="L285" s="97">
        <f>Table1[[#This Row],[ÅR]]-Table1[[#This Row],[FÖDD]]</f>
        <v>23</v>
      </c>
      <c r="M285" s="97">
        <v>4</v>
      </c>
      <c r="N285" s="97">
        <f>SUMIF(B:B,Table1[[#This Row],[Namn]],C:C)</f>
        <v>18</v>
      </c>
      <c r="O285" s="97">
        <f>COUNTIF(B:B,Table1[[#This Row],[Namn]])</f>
        <v>2</v>
      </c>
      <c r="P285" s="97">
        <f>SUMIF(B:B,Table1[[#This Row],[Namn]],G:G)</f>
        <v>0</v>
      </c>
      <c r="Q285" s="97">
        <f>SUMIF(B:B,Table1[[#This Row],[Namn]],E:E)</f>
        <v>1</v>
      </c>
      <c r="R285" s="97">
        <f>SUMIF(B:B,Table1[[#This Row],[Namn]],F:F)</f>
        <v>0</v>
      </c>
    </row>
    <row r="286" spans="1:18" x14ac:dyDescent="0.25">
      <c r="A286" s="97">
        <v>2016</v>
      </c>
      <c r="B286" s="98" t="s">
        <v>136</v>
      </c>
      <c r="C286" s="97">
        <v>9</v>
      </c>
      <c r="D286" s="99">
        <f>IFERROR(Table1[[#This Row],[MAT]]/Table1[[#This Row],[LAG MATCH]],"")</f>
        <v>0.5625</v>
      </c>
      <c r="E286" s="97">
        <v>0</v>
      </c>
      <c r="F286" s="97">
        <v>0</v>
      </c>
      <c r="G286" s="97">
        <v>1</v>
      </c>
      <c r="H286" s="97">
        <v>16</v>
      </c>
      <c r="I286" s="100">
        <f t="shared" si="10"/>
        <v>0.1111111111111111</v>
      </c>
      <c r="J286" s="97">
        <f>Table1[[#This Row],[ÅR]]</f>
        <v>2016</v>
      </c>
      <c r="K286" s="97">
        <v>1996</v>
      </c>
      <c r="L286" s="97">
        <f>Table1[[#This Row],[ÅR]]-Table1[[#This Row],[FÖDD]]</f>
        <v>20</v>
      </c>
      <c r="M286" s="97">
        <v>4</v>
      </c>
      <c r="N286" s="97">
        <f>SUMIF(B:B,Table1[[#This Row],[Namn]],C:C)</f>
        <v>69</v>
      </c>
      <c r="O286" s="97">
        <f>COUNTIF(B:B,Table1[[#This Row],[Namn]])</f>
        <v>5</v>
      </c>
      <c r="P286" s="97">
        <f>SUMIF(B:B,Table1[[#This Row],[Namn]],G:G)</f>
        <v>1</v>
      </c>
      <c r="Q286" s="97">
        <f>SUMIF(B:B,Table1[[#This Row],[Namn]],E:E)</f>
        <v>0</v>
      </c>
      <c r="R286" s="97">
        <f>SUMIF(B:B,Table1[[#This Row],[Namn]],F:F)</f>
        <v>0</v>
      </c>
    </row>
    <row r="287" spans="1:18" x14ac:dyDescent="0.25">
      <c r="A287" s="97">
        <v>2016</v>
      </c>
      <c r="B287" s="98" t="s">
        <v>137</v>
      </c>
      <c r="C287" s="97">
        <v>9</v>
      </c>
      <c r="D287" s="99">
        <f>IFERROR(Table1[[#This Row],[MAT]]/Table1[[#This Row],[LAG MATCH]],"")</f>
        <v>0.5625</v>
      </c>
      <c r="E287" s="97">
        <v>0</v>
      </c>
      <c r="F287" s="97">
        <v>0</v>
      </c>
      <c r="G287" s="97">
        <v>1</v>
      </c>
      <c r="H287" s="97">
        <v>16</v>
      </c>
      <c r="I287" s="100">
        <f t="shared" si="10"/>
        <v>0.1111111111111111</v>
      </c>
      <c r="J287" s="97">
        <f>Table1[[#This Row],[ÅR]]</f>
        <v>2016</v>
      </c>
      <c r="K287" s="97">
        <v>1996</v>
      </c>
      <c r="L287" s="97">
        <f>Table1[[#This Row],[ÅR]]-Table1[[#This Row],[FÖDD]]</f>
        <v>20</v>
      </c>
      <c r="M287" s="97">
        <v>4</v>
      </c>
      <c r="N287" s="97">
        <f>SUMIF(B:B,Table1[[#This Row],[Namn]],C:C)</f>
        <v>44</v>
      </c>
      <c r="O287" s="97">
        <f>COUNTIF(B:B,Table1[[#This Row],[Namn]])</f>
        <v>5</v>
      </c>
      <c r="P287" s="97">
        <f>SUMIF(B:B,Table1[[#This Row],[Namn]],G:G)</f>
        <v>4</v>
      </c>
      <c r="Q287" s="97">
        <f>SUMIF(B:B,Table1[[#This Row],[Namn]],E:E)</f>
        <v>0</v>
      </c>
      <c r="R287" s="97">
        <f>SUMIF(B:B,Table1[[#This Row],[Namn]],F:F)</f>
        <v>0</v>
      </c>
    </row>
    <row r="288" spans="1:18" x14ac:dyDescent="0.25">
      <c r="A288" s="97">
        <v>2016</v>
      </c>
      <c r="B288" s="98" t="s">
        <v>138</v>
      </c>
      <c r="C288" s="97">
        <v>8</v>
      </c>
      <c r="D288" s="99">
        <f>IFERROR(Table1[[#This Row],[MAT]]/Table1[[#This Row],[LAG MATCH]],"")</f>
        <v>0.5</v>
      </c>
      <c r="E288" s="97">
        <v>0</v>
      </c>
      <c r="F288" s="97">
        <v>0</v>
      </c>
      <c r="G288" s="97">
        <v>2</v>
      </c>
      <c r="H288" s="97">
        <v>16</v>
      </c>
      <c r="I288" s="100">
        <f t="shared" si="10"/>
        <v>0.25</v>
      </c>
      <c r="J288" s="97">
        <f>Table1[[#This Row],[ÅR]]</f>
        <v>2016</v>
      </c>
      <c r="K288" s="97">
        <v>1996</v>
      </c>
      <c r="L288" s="97">
        <f>Table1[[#This Row],[ÅR]]-Table1[[#This Row],[FÖDD]]</f>
        <v>20</v>
      </c>
      <c r="M288" s="97">
        <v>4</v>
      </c>
      <c r="N288" s="97">
        <f>SUMIF(B:B,Table1[[#This Row],[Namn]],C:C)</f>
        <v>20</v>
      </c>
      <c r="O288" s="97">
        <f>COUNTIF(B:B,Table1[[#This Row],[Namn]])</f>
        <v>2</v>
      </c>
      <c r="P288" s="97">
        <f>SUMIF(B:B,Table1[[#This Row],[Namn]],G:G)</f>
        <v>4</v>
      </c>
      <c r="Q288" s="97">
        <f>SUMIF(B:B,Table1[[#This Row],[Namn]],E:E)</f>
        <v>0</v>
      </c>
      <c r="R288" s="97">
        <f>SUMIF(B:B,Table1[[#This Row],[Namn]],F:F)</f>
        <v>0</v>
      </c>
    </row>
    <row r="289" spans="1:18" x14ac:dyDescent="0.25">
      <c r="A289" s="97">
        <v>2016</v>
      </c>
      <c r="B289" s="98" t="s">
        <v>139</v>
      </c>
      <c r="C289" s="97">
        <v>7</v>
      </c>
      <c r="D289" s="99">
        <f>IFERROR(Table1[[#This Row],[MAT]]/Table1[[#This Row],[LAG MATCH]],"")</f>
        <v>0.4375</v>
      </c>
      <c r="E289" s="97">
        <v>0</v>
      </c>
      <c r="F289" s="97">
        <v>0</v>
      </c>
      <c r="G289" s="97">
        <v>1</v>
      </c>
      <c r="H289" s="97">
        <v>16</v>
      </c>
      <c r="I289" s="100">
        <f t="shared" si="10"/>
        <v>0.14285714285714285</v>
      </c>
      <c r="J289" s="97">
        <f>Table1[[#This Row],[ÅR]]</f>
        <v>2016</v>
      </c>
      <c r="K289" s="97">
        <v>1996</v>
      </c>
      <c r="L289" s="97">
        <f>Table1[[#This Row],[ÅR]]-Table1[[#This Row],[FÖDD]]</f>
        <v>20</v>
      </c>
      <c r="M289" s="97">
        <v>4</v>
      </c>
      <c r="N289" s="97">
        <f>SUMIF(B:B,Table1[[#This Row],[Namn]],C:C)</f>
        <v>37</v>
      </c>
      <c r="O289" s="97">
        <f>COUNTIF(B:B,Table1[[#This Row],[Namn]])</f>
        <v>3</v>
      </c>
      <c r="P289" s="97">
        <f>SUMIF(B:B,Table1[[#This Row],[Namn]],G:G)</f>
        <v>14</v>
      </c>
      <c r="Q289" s="97">
        <f>SUMIF(B:B,Table1[[#This Row],[Namn]],E:E)</f>
        <v>0</v>
      </c>
      <c r="R289" s="97">
        <f>SUMIF(B:B,Table1[[#This Row],[Namn]],F:F)</f>
        <v>0</v>
      </c>
    </row>
    <row r="290" spans="1:18" x14ac:dyDescent="0.25">
      <c r="A290" s="97">
        <v>2016</v>
      </c>
      <c r="B290" s="98" t="s">
        <v>121</v>
      </c>
      <c r="C290" s="97">
        <v>7</v>
      </c>
      <c r="D290" s="99">
        <f>IFERROR(Table1[[#This Row],[MAT]]/Table1[[#This Row],[LAG MATCH]],"")</f>
        <v>0.4375</v>
      </c>
      <c r="E290" s="97">
        <v>0</v>
      </c>
      <c r="F290" s="97">
        <v>0</v>
      </c>
      <c r="G290" s="97">
        <v>0</v>
      </c>
      <c r="H290" s="97">
        <v>16</v>
      </c>
      <c r="I290" s="100">
        <f t="shared" si="10"/>
        <v>0</v>
      </c>
      <c r="J290" s="97">
        <f>Table1[[#This Row],[ÅR]]</f>
        <v>2016</v>
      </c>
      <c r="K290" s="97">
        <v>1999</v>
      </c>
      <c r="L290" s="97">
        <f>Table1[[#This Row],[ÅR]]-Table1[[#This Row],[FÖDD]]</f>
        <v>17</v>
      </c>
      <c r="M290" s="97">
        <v>4</v>
      </c>
      <c r="N290" s="97">
        <f>SUMIF(B:B,Table1[[#This Row],[Namn]],C:C)</f>
        <v>17</v>
      </c>
      <c r="O290" s="97">
        <f>COUNTIF(B:B,Table1[[#This Row],[Namn]])</f>
        <v>2</v>
      </c>
      <c r="P290" s="97">
        <f>SUMIF(B:B,Table1[[#This Row],[Namn]],G:G)</f>
        <v>0</v>
      </c>
      <c r="Q290" s="97">
        <f>SUMIF(B:B,Table1[[#This Row],[Namn]],E:E)</f>
        <v>0</v>
      </c>
      <c r="R290" s="97">
        <f>SUMIF(B:B,Table1[[#This Row],[Namn]],F:F)</f>
        <v>0</v>
      </c>
    </row>
    <row r="291" spans="1:18" x14ac:dyDescent="0.25">
      <c r="A291" s="97">
        <v>2016</v>
      </c>
      <c r="B291" s="98" t="s">
        <v>97</v>
      </c>
      <c r="C291" s="97">
        <v>6</v>
      </c>
      <c r="D291" s="99">
        <f>IFERROR(Table1[[#This Row],[MAT]]/Table1[[#This Row],[LAG MATCH]],"")</f>
        <v>0.375</v>
      </c>
      <c r="E291" s="97">
        <v>0</v>
      </c>
      <c r="F291" s="97">
        <v>0</v>
      </c>
      <c r="G291" s="97">
        <v>1</v>
      </c>
      <c r="H291" s="97">
        <v>16</v>
      </c>
      <c r="I291" s="100">
        <f t="shared" si="10"/>
        <v>0.16666666666666666</v>
      </c>
      <c r="J291" s="97">
        <f>Table1[[#This Row],[ÅR]]</f>
        <v>2016</v>
      </c>
      <c r="K291" s="97">
        <v>2001</v>
      </c>
      <c r="L291" s="97">
        <f>Table1[[#This Row],[ÅR]]-Table1[[#This Row],[FÖDD]]</f>
        <v>15</v>
      </c>
      <c r="M291" s="97">
        <v>4</v>
      </c>
      <c r="N291" s="97">
        <f>SUMIF(B:B,Table1[[#This Row],[Namn]],C:C)</f>
        <v>14</v>
      </c>
      <c r="O291" s="97">
        <f>COUNTIF(B:B,Table1[[#This Row],[Namn]])</f>
        <v>3</v>
      </c>
      <c r="P291" s="97">
        <f>SUMIF(B:B,Table1[[#This Row],[Namn]],G:G)</f>
        <v>1</v>
      </c>
      <c r="Q291" s="97">
        <f>SUMIF(B:B,Table1[[#This Row],[Namn]],E:E)</f>
        <v>0</v>
      </c>
      <c r="R291" s="97">
        <f>SUMIF(B:B,Table1[[#This Row],[Namn]],F:F)</f>
        <v>0</v>
      </c>
    </row>
    <row r="292" spans="1:18" x14ac:dyDescent="0.25">
      <c r="A292" s="97">
        <v>2016</v>
      </c>
      <c r="B292" s="98" t="s">
        <v>140</v>
      </c>
      <c r="C292" s="97">
        <v>6</v>
      </c>
      <c r="D292" s="99">
        <f>IFERROR(Table1[[#This Row],[MAT]]/Table1[[#This Row],[LAG MATCH]],"")</f>
        <v>0.375</v>
      </c>
      <c r="E292" s="97">
        <v>0</v>
      </c>
      <c r="F292" s="97">
        <v>0</v>
      </c>
      <c r="G292" s="97">
        <v>1</v>
      </c>
      <c r="H292" s="97">
        <v>16</v>
      </c>
      <c r="I292" s="100">
        <f t="shared" si="10"/>
        <v>0.16666666666666666</v>
      </c>
      <c r="J292" s="97">
        <f>Table1[[#This Row],[ÅR]]</f>
        <v>2016</v>
      </c>
      <c r="K292" s="97">
        <v>2000</v>
      </c>
      <c r="L292" s="97">
        <f>Table1[[#This Row],[ÅR]]-Table1[[#This Row],[FÖDD]]</f>
        <v>16</v>
      </c>
      <c r="M292" s="97">
        <v>4</v>
      </c>
      <c r="N292" s="97">
        <f>SUMIF(B:B,Table1[[#This Row],[Namn]],C:C)</f>
        <v>17</v>
      </c>
      <c r="O292" s="97">
        <f>COUNTIF(B:B,Table1[[#This Row],[Namn]])</f>
        <v>2</v>
      </c>
      <c r="P292" s="97">
        <f>SUMIF(B:B,Table1[[#This Row],[Namn]],G:G)</f>
        <v>1</v>
      </c>
      <c r="Q292" s="97">
        <f>SUMIF(B:B,Table1[[#This Row],[Namn]],E:E)</f>
        <v>0</v>
      </c>
      <c r="R292" s="97">
        <f>SUMIF(B:B,Table1[[#This Row],[Namn]],F:F)</f>
        <v>0</v>
      </c>
    </row>
    <row r="293" spans="1:18" x14ac:dyDescent="0.25">
      <c r="A293" s="97">
        <v>2016</v>
      </c>
      <c r="B293" s="98" t="s">
        <v>141</v>
      </c>
      <c r="C293" s="97">
        <v>5</v>
      </c>
      <c r="D293" s="99">
        <f>IFERROR(Table1[[#This Row],[MAT]]/Table1[[#This Row],[LAG MATCH]],"")</f>
        <v>0.3125</v>
      </c>
      <c r="E293" s="97">
        <v>0</v>
      </c>
      <c r="F293" s="97">
        <v>0</v>
      </c>
      <c r="G293" s="97">
        <v>1</v>
      </c>
      <c r="H293" s="97">
        <v>16</v>
      </c>
      <c r="I293" s="100">
        <f t="shared" si="10"/>
        <v>0.2</v>
      </c>
      <c r="J293" s="97">
        <f>Table1[[#This Row],[ÅR]]</f>
        <v>2016</v>
      </c>
      <c r="K293" s="97">
        <v>1999</v>
      </c>
      <c r="L293" s="97">
        <f>Table1[[#This Row],[ÅR]]-Table1[[#This Row],[FÖDD]]</f>
        <v>17</v>
      </c>
      <c r="M293" s="97">
        <v>4</v>
      </c>
      <c r="N293" s="97">
        <f>SUMIF(B:B,Table1[[#This Row],[Namn]],C:C)</f>
        <v>5</v>
      </c>
      <c r="O293" s="97">
        <f>COUNTIF(B:B,Table1[[#This Row],[Namn]])</f>
        <v>1</v>
      </c>
      <c r="P293" s="97">
        <f>SUMIF(B:B,Table1[[#This Row],[Namn]],G:G)</f>
        <v>1</v>
      </c>
      <c r="Q293" s="97">
        <f>SUMIF(B:B,Table1[[#This Row],[Namn]],E:E)</f>
        <v>0</v>
      </c>
      <c r="R293" s="97">
        <f>SUMIF(B:B,Table1[[#This Row],[Namn]],F:F)</f>
        <v>0</v>
      </c>
    </row>
    <row r="294" spans="1:18" x14ac:dyDescent="0.25">
      <c r="A294" s="97">
        <v>2016</v>
      </c>
      <c r="B294" s="98" t="s">
        <v>36</v>
      </c>
      <c r="C294" s="97">
        <v>4</v>
      </c>
      <c r="D294" s="99">
        <f>IFERROR(Table1[[#This Row],[MAT]]/Table1[[#This Row],[LAG MATCH]],"")</f>
        <v>0.25</v>
      </c>
      <c r="E294" s="97">
        <v>0</v>
      </c>
      <c r="F294" s="97">
        <v>0</v>
      </c>
      <c r="G294" s="97">
        <v>6</v>
      </c>
      <c r="H294" s="97">
        <v>16</v>
      </c>
      <c r="I294" s="100">
        <f t="shared" si="10"/>
        <v>1.5</v>
      </c>
      <c r="J294" s="97">
        <f>Table1[[#This Row],[ÅR]]</f>
        <v>2016</v>
      </c>
      <c r="K294" s="97">
        <v>2002</v>
      </c>
      <c r="L294" s="97">
        <f>Table1[[#This Row],[ÅR]]-Table1[[#This Row],[FÖDD]]</f>
        <v>14</v>
      </c>
      <c r="M294" s="97">
        <v>4</v>
      </c>
      <c r="N294" s="97">
        <f>SUMIF(B:B,Table1[[#This Row],[Namn]],C:C)</f>
        <v>63</v>
      </c>
      <c r="O294" s="97">
        <f>COUNTIF(B:B,Table1[[#This Row],[Namn]])</f>
        <v>5</v>
      </c>
      <c r="P294" s="97">
        <f>SUMIF(B:B,Table1[[#This Row],[Namn]],G:G)</f>
        <v>24</v>
      </c>
      <c r="Q294" s="97">
        <f>SUMIF(B:B,Table1[[#This Row],[Namn]],E:E)</f>
        <v>3</v>
      </c>
      <c r="R294" s="97">
        <f>SUMIF(B:B,Table1[[#This Row],[Namn]],F:F)</f>
        <v>0</v>
      </c>
    </row>
    <row r="295" spans="1:18" x14ac:dyDescent="0.25">
      <c r="A295" s="97">
        <v>2016</v>
      </c>
      <c r="B295" s="98" t="s">
        <v>142</v>
      </c>
      <c r="C295" s="97">
        <v>4</v>
      </c>
      <c r="D295" s="99">
        <f>IFERROR(Table1[[#This Row],[MAT]]/Table1[[#This Row],[LAG MATCH]],"")</f>
        <v>0.25</v>
      </c>
      <c r="E295" s="97">
        <v>0</v>
      </c>
      <c r="F295" s="97">
        <v>0</v>
      </c>
      <c r="G295" s="97">
        <v>0</v>
      </c>
      <c r="H295" s="97">
        <v>16</v>
      </c>
      <c r="I295" s="100">
        <f t="shared" si="10"/>
        <v>0</v>
      </c>
      <c r="J295" s="97">
        <f>Table1[[#This Row],[ÅR]]</f>
        <v>2016</v>
      </c>
      <c r="K295" s="97">
        <v>1999</v>
      </c>
      <c r="L295" s="97">
        <f>Table1[[#This Row],[ÅR]]-Table1[[#This Row],[FÖDD]]</f>
        <v>17</v>
      </c>
      <c r="M295" s="97">
        <v>4</v>
      </c>
      <c r="N295" s="97">
        <f>SUMIF(B:B,Table1[[#This Row],[Namn]],C:C)</f>
        <v>4</v>
      </c>
      <c r="O295" s="97">
        <f>COUNTIF(B:B,Table1[[#This Row],[Namn]])</f>
        <v>1</v>
      </c>
      <c r="P295" s="97">
        <f>SUMIF(B:B,Table1[[#This Row],[Namn]],G:G)</f>
        <v>0</v>
      </c>
      <c r="Q295" s="97">
        <f>SUMIF(B:B,Table1[[#This Row],[Namn]],E:E)</f>
        <v>0</v>
      </c>
      <c r="R295" s="97">
        <f>SUMIF(B:B,Table1[[#This Row],[Namn]],F:F)</f>
        <v>0</v>
      </c>
    </row>
    <row r="296" spans="1:18" x14ac:dyDescent="0.25">
      <c r="A296" s="97">
        <v>2016</v>
      </c>
      <c r="B296" s="98" t="s">
        <v>120</v>
      </c>
      <c r="C296" s="97">
        <v>3</v>
      </c>
      <c r="D296" s="99">
        <f>IFERROR(Table1[[#This Row],[MAT]]/Table1[[#This Row],[LAG MATCH]],"")</f>
        <v>0.1875</v>
      </c>
      <c r="E296" s="97">
        <v>0</v>
      </c>
      <c r="F296" s="97">
        <v>0</v>
      </c>
      <c r="G296" s="97">
        <v>5</v>
      </c>
      <c r="H296" s="97">
        <v>16</v>
      </c>
      <c r="I296" s="100">
        <f t="shared" si="10"/>
        <v>1.6666666666666667</v>
      </c>
      <c r="J296" s="97">
        <f>Table1[[#This Row],[ÅR]]</f>
        <v>2016</v>
      </c>
      <c r="K296" s="97">
        <v>1994</v>
      </c>
      <c r="L296" s="97">
        <f>Table1[[#This Row],[ÅR]]-Table1[[#This Row],[FÖDD]]</f>
        <v>22</v>
      </c>
      <c r="M296" s="97">
        <v>4</v>
      </c>
      <c r="N296" s="97">
        <f>SUMIF(B:B,Table1[[#This Row],[Namn]],C:C)</f>
        <v>13</v>
      </c>
      <c r="O296" s="97">
        <f>COUNTIF(B:B,Table1[[#This Row],[Namn]])</f>
        <v>2</v>
      </c>
      <c r="P296" s="97">
        <f>SUMIF(B:B,Table1[[#This Row],[Namn]],G:G)</f>
        <v>6</v>
      </c>
      <c r="Q296" s="97">
        <f>SUMIF(B:B,Table1[[#This Row],[Namn]],E:E)</f>
        <v>0</v>
      </c>
      <c r="R296" s="97">
        <f>SUMIF(B:B,Table1[[#This Row],[Namn]],F:F)</f>
        <v>0</v>
      </c>
    </row>
    <row r="297" spans="1:18" x14ac:dyDescent="0.25">
      <c r="A297" s="97">
        <v>2016</v>
      </c>
      <c r="B297" s="98" t="s">
        <v>125</v>
      </c>
      <c r="C297" s="97">
        <v>3</v>
      </c>
      <c r="D297" s="99">
        <f>IFERROR(Table1[[#This Row],[MAT]]/Table1[[#This Row],[LAG MATCH]],"")</f>
        <v>0.1875</v>
      </c>
      <c r="E297" s="97">
        <v>0</v>
      </c>
      <c r="F297" s="97">
        <v>0</v>
      </c>
      <c r="G297" s="97">
        <v>1</v>
      </c>
      <c r="H297" s="97">
        <v>16</v>
      </c>
      <c r="I297" s="100">
        <f t="shared" si="10"/>
        <v>0.33333333333333331</v>
      </c>
      <c r="J297" s="97">
        <f>Table1[[#This Row],[ÅR]]</f>
        <v>2016</v>
      </c>
      <c r="K297" s="97">
        <v>1992</v>
      </c>
      <c r="L297" s="97">
        <f>Table1[[#This Row],[ÅR]]-Table1[[#This Row],[FÖDD]]</f>
        <v>24</v>
      </c>
      <c r="M297" s="97">
        <v>4</v>
      </c>
      <c r="N297" s="97">
        <f>SUMIF(B:B,Table1[[#This Row],[Namn]],C:C)</f>
        <v>7</v>
      </c>
      <c r="O297" s="97">
        <f>COUNTIF(B:B,Table1[[#This Row],[Namn]])</f>
        <v>2</v>
      </c>
      <c r="P297" s="97">
        <f>SUMIF(B:B,Table1[[#This Row],[Namn]],G:G)</f>
        <v>2</v>
      </c>
      <c r="Q297" s="97">
        <f>SUMIF(B:B,Table1[[#This Row],[Namn]],E:E)</f>
        <v>0</v>
      </c>
      <c r="R297" s="97">
        <f>SUMIF(B:B,Table1[[#This Row],[Namn]],F:F)</f>
        <v>0</v>
      </c>
    </row>
    <row r="298" spans="1:18" x14ac:dyDescent="0.25">
      <c r="A298" s="97">
        <v>2016</v>
      </c>
      <c r="B298" s="98" t="s">
        <v>104</v>
      </c>
      <c r="C298" s="97">
        <v>3</v>
      </c>
      <c r="D298" s="99">
        <f>IFERROR(Table1[[#This Row],[MAT]]/Table1[[#This Row],[LAG MATCH]],"")</f>
        <v>0.1875</v>
      </c>
      <c r="E298" s="97">
        <v>0</v>
      </c>
      <c r="F298" s="97">
        <v>0</v>
      </c>
      <c r="G298" s="97">
        <v>0</v>
      </c>
      <c r="H298" s="97">
        <v>16</v>
      </c>
      <c r="I298" s="100">
        <f t="shared" si="10"/>
        <v>0</v>
      </c>
      <c r="J298" s="97">
        <f>Table1[[#This Row],[ÅR]]</f>
        <v>2016</v>
      </c>
      <c r="K298" s="97">
        <v>2001</v>
      </c>
      <c r="L298" s="97">
        <f>Table1[[#This Row],[ÅR]]-Table1[[#This Row],[FÖDD]]</f>
        <v>15</v>
      </c>
      <c r="M298" s="97">
        <v>4</v>
      </c>
      <c r="N298" s="97">
        <f>SUMIF(B:B,Table1[[#This Row],[Namn]],C:C)</f>
        <v>8</v>
      </c>
      <c r="O298" s="97">
        <f>COUNTIF(B:B,Table1[[#This Row],[Namn]])</f>
        <v>3</v>
      </c>
      <c r="P298" s="97">
        <f>SUMIF(B:B,Table1[[#This Row],[Namn]],G:G)</f>
        <v>0</v>
      </c>
      <c r="Q298" s="97">
        <f>SUMIF(B:B,Table1[[#This Row],[Namn]],E:E)</f>
        <v>0</v>
      </c>
      <c r="R298" s="97">
        <f>SUMIF(B:B,Table1[[#This Row],[Namn]],F:F)</f>
        <v>0</v>
      </c>
    </row>
    <row r="299" spans="1:18" x14ac:dyDescent="0.25">
      <c r="A299" s="97">
        <v>2016</v>
      </c>
      <c r="B299" s="98" t="s">
        <v>143</v>
      </c>
      <c r="C299" s="97">
        <v>3</v>
      </c>
      <c r="D299" s="99">
        <f>IFERROR(Table1[[#This Row],[MAT]]/Table1[[#This Row],[LAG MATCH]],"")</f>
        <v>0.1875</v>
      </c>
      <c r="E299" s="97">
        <v>0</v>
      </c>
      <c r="F299" s="97">
        <v>0</v>
      </c>
      <c r="G299" s="97">
        <v>0</v>
      </c>
      <c r="H299" s="97">
        <v>16</v>
      </c>
      <c r="I299" s="100">
        <f t="shared" si="10"/>
        <v>0</v>
      </c>
      <c r="J299" s="97">
        <f>Table1[[#This Row],[ÅR]]</f>
        <v>2016</v>
      </c>
      <c r="K299" s="97">
        <v>1999</v>
      </c>
      <c r="L299" s="97">
        <f>Table1[[#This Row],[ÅR]]-Table1[[#This Row],[FÖDD]]</f>
        <v>17</v>
      </c>
      <c r="M299" s="97">
        <v>4</v>
      </c>
      <c r="N299" s="97">
        <f>SUMIF(B:B,Table1[[#This Row],[Namn]],C:C)</f>
        <v>3</v>
      </c>
      <c r="O299" s="97">
        <f>COUNTIF(B:B,Table1[[#This Row],[Namn]])</f>
        <v>1</v>
      </c>
      <c r="P299" s="97">
        <f>SUMIF(B:B,Table1[[#This Row],[Namn]],G:G)</f>
        <v>0</v>
      </c>
      <c r="Q299" s="97">
        <f>SUMIF(B:B,Table1[[#This Row],[Namn]],E:E)</f>
        <v>0</v>
      </c>
      <c r="R299" s="97">
        <f>SUMIF(B:B,Table1[[#This Row],[Namn]],F:F)</f>
        <v>0</v>
      </c>
    </row>
    <row r="300" spans="1:18" x14ac:dyDescent="0.25">
      <c r="A300" s="97">
        <v>2016</v>
      </c>
      <c r="B300" s="98" t="s">
        <v>64</v>
      </c>
      <c r="C300" s="97">
        <v>2</v>
      </c>
      <c r="D300" s="99">
        <f>IFERROR(Table1[[#This Row],[MAT]]/Table1[[#This Row],[LAG MATCH]],"")</f>
        <v>0.125</v>
      </c>
      <c r="E300" s="97">
        <v>0</v>
      </c>
      <c r="F300" s="97">
        <v>0</v>
      </c>
      <c r="G300" s="97">
        <v>4</v>
      </c>
      <c r="H300" s="97">
        <v>16</v>
      </c>
      <c r="I300" s="100">
        <f t="shared" si="10"/>
        <v>2</v>
      </c>
      <c r="J300" s="97">
        <f>Table1[[#This Row],[ÅR]]</f>
        <v>2016</v>
      </c>
      <c r="K300" s="97">
        <v>2001</v>
      </c>
      <c r="L300" s="97">
        <f>Table1[[#This Row],[ÅR]]-Table1[[#This Row],[FÖDD]]</f>
        <v>15</v>
      </c>
      <c r="M300" s="97">
        <v>4</v>
      </c>
      <c r="N300" s="97">
        <f>SUMIF(B:B,Table1[[#This Row],[Namn]],C:C)</f>
        <v>48</v>
      </c>
      <c r="O300" s="97">
        <f>COUNTIF(B:B,Table1[[#This Row],[Namn]])</f>
        <v>8</v>
      </c>
      <c r="P300" s="97">
        <f>SUMIF(B:B,Table1[[#This Row],[Namn]],G:G)</f>
        <v>14</v>
      </c>
      <c r="Q300" s="97">
        <f>SUMIF(B:B,Table1[[#This Row],[Namn]],E:E)</f>
        <v>1</v>
      </c>
      <c r="R300" s="97">
        <f>SUMIF(B:B,Table1[[#This Row],[Namn]],F:F)</f>
        <v>0</v>
      </c>
    </row>
    <row r="301" spans="1:18" x14ac:dyDescent="0.25">
      <c r="A301" s="97">
        <v>2016</v>
      </c>
      <c r="B301" s="98" t="s">
        <v>119</v>
      </c>
      <c r="C301" s="97">
        <v>2</v>
      </c>
      <c r="D301" s="99">
        <f>IFERROR(Table1[[#This Row],[MAT]]/Table1[[#This Row],[LAG MATCH]],"")</f>
        <v>0.125</v>
      </c>
      <c r="E301" s="97">
        <v>0</v>
      </c>
      <c r="F301" s="97">
        <v>0</v>
      </c>
      <c r="G301" s="97">
        <v>0</v>
      </c>
      <c r="H301" s="97">
        <v>16</v>
      </c>
      <c r="I301" s="100">
        <f t="shared" si="10"/>
        <v>0</v>
      </c>
      <c r="J301" s="97">
        <f>Table1[[#This Row],[ÅR]]</f>
        <v>2016</v>
      </c>
      <c r="K301" s="97">
        <v>2001</v>
      </c>
      <c r="L301" s="97">
        <f>Table1[[#This Row],[ÅR]]-Table1[[#This Row],[FÖDD]]</f>
        <v>15</v>
      </c>
      <c r="M301" s="97">
        <v>4</v>
      </c>
      <c r="N301" s="97">
        <f>SUMIF(B:B,Table1[[#This Row],[Namn]],C:C)</f>
        <v>12</v>
      </c>
      <c r="O301" s="97">
        <f>COUNTIF(B:B,Table1[[#This Row],[Namn]])</f>
        <v>2</v>
      </c>
      <c r="P301" s="97">
        <f>SUMIF(B:B,Table1[[#This Row],[Namn]],G:G)</f>
        <v>1</v>
      </c>
      <c r="Q301" s="97">
        <f>SUMIF(B:B,Table1[[#This Row],[Namn]],E:E)</f>
        <v>0</v>
      </c>
      <c r="R301" s="97">
        <f>SUMIF(B:B,Table1[[#This Row],[Namn]],F:F)</f>
        <v>0</v>
      </c>
    </row>
    <row r="302" spans="1:18" x14ac:dyDescent="0.25">
      <c r="A302" s="97">
        <v>2016</v>
      </c>
      <c r="B302" s="98" t="s">
        <v>144</v>
      </c>
      <c r="C302" s="97">
        <v>2</v>
      </c>
      <c r="D302" s="99">
        <f>IFERROR(Table1[[#This Row],[MAT]]/Table1[[#This Row],[LAG MATCH]],"")</f>
        <v>0.125</v>
      </c>
      <c r="E302" s="97">
        <v>0</v>
      </c>
      <c r="F302" s="97">
        <v>0</v>
      </c>
      <c r="G302" s="97">
        <v>0</v>
      </c>
      <c r="H302" s="97">
        <v>16</v>
      </c>
      <c r="I302" s="100">
        <f t="shared" si="10"/>
        <v>0</v>
      </c>
      <c r="J302" s="97">
        <f>Table1[[#This Row],[ÅR]]</f>
        <v>2016</v>
      </c>
      <c r="K302" s="97">
        <v>2001</v>
      </c>
      <c r="L302" s="97">
        <f>Table1[[#This Row],[ÅR]]-Table1[[#This Row],[FÖDD]]</f>
        <v>15</v>
      </c>
      <c r="M302" s="97">
        <v>4</v>
      </c>
      <c r="N302" s="97">
        <f>SUMIF(B:B,Table1[[#This Row],[Namn]],C:C)</f>
        <v>2</v>
      </c>
      <c r="O302" s="97">
        <f>COUNTIF(B:B,Table1[[#This Row],[Namn]])</f>
        <v>1</v>
      </c>
      <c r="P302" s="97">
        <f>SUMIF(B:B,Table1[[#This Row],[Namn]],G:G)</f>
        <v>0</v>
      </c>
      <c r="Q302" s="97">
        <f>SUMIF(B:B,Table1[[#This Row],[Namn]],E:E)</f>
        <v>0</v>
      </c>
      <c r="R302" s="97">
        <f>SUMIF(B:B,Table1[[#This Row],[Namn]],F:F)</f>
        <v>0</v>
      </c>
    </row>
    <row r="303" spans="1:18" x14ac:dyDescent="0.25">
      <c r="A303" s="97">
        <v>2016</v>
      </c>
      <c r="B303" s="98" t="s">
        <v>145</v>
      </c>
      <c r="C303" s="97">
        <v>2</v>
      </c>
      <c r="D303" s="99">
        <f>IFERROR(Table1[[#This Row],[MAT]]/Table1[[#This Row],[LAG MATCH]],"")</f>
        <v>0.125</v>
      </c>
      <c r="E303" s="97">
        <v>0</v>
      </c>
      <c r="F303" s="97">
        <v>0</v>
      </c>
      <c r="G303" s="97">
        <v>0</v>
      </c>
      <c r="H303" s="97">
        <v>16</v>
      </c>
      <c r="I303" s="100">
        <f t="shared" si="10"/>
        <v>0</v>
      </c>
      <c r="J303" s="97">
        <f>Table1[[#This Row],[ÅR]]</f>
        <v>2016</v>
      </c>
      <c r="K303" s="97">
        <v>1999</v>
      </c>
      <c r="L303" s="97">
        <f>Table1[[#This Row],[ÅR]]-Table1[[#This Row],[FÖDD]]</f>
        <v>17</v>
      </c>
      <c r="M303" s="97">
        <v>4</v>
      </c>
      <c r="N303" s="97">
        <f>SUMIF(B:B,Table1[[#This Row],[Namn]],C:C)</f>
        <v>2</v>
      </c>
      <c r="O303" s="97">
        <f>COUNTIF(B:B,Table1[[#This Row],[Namn]])</f>
        <v>1</v>
      </c>
      <c r="P303" s="97">
        <f>SUMIF(B:B,Table1[[#This Row],[Namn]],G:G)</f>
        <v>0</v>
      </c>
      <c r="Q303" s="97">
        <f>SUMIF(B:B,Table1[[#This Row],[Namn]],E:E)</f>
        <v>0</v>
      </c>
      <c r="R303" s="97">
        <f>SUMIF(B:B,Table1[[#This Row],[Namn]],F:F)</f>
        <v>0</v>
      </c>
    </row>
    <row r="304" spans="1:18" x14ac:dyDescent="0.25">
      <c r="A304" s="97">
        <v>2016</v>
      </c>
      <c r="B304" s="98" t="s">
        <v>146</v>
      </c>
      <c r="C304" s="97">
        <v>1</v>
      </c>
      <c r="D304" s="99">
        <f>IFERROR(Table1[[#This Row],[MAT]]/Table1[[#This Row],[LAG MATCH]],"")</f>
        <v>6.25E-2</v>
      </c>
      <c r="E304" s="97">
        <v>0</v>
      </c>
      <c r="F304" s="97">
        <v>0</v>
      </c>
      <c r="G304" s="97">
        <v>0</v>
      </c>
      <c r="H304" s="97">
        <v>16</v>
      </c>
      <c r="I304" s="100">
        <f t="shared" si="10"/>
        <v>0</v>
      </c>
      <c r="J304" s="97">
        <f>Table1[[#This Row],[ÅR]]</f>
        <v>2016</v>
      </c>
      <c r="K304" s="97">
        <v>2001</v>
      </c>
      <c r="L304" s="97">
        <f>Table1[[#This Row],[ÅR]]-Table1[[#This Row],[FÖDD]]</f>
        <v>15</v>
      </c>
      <c r="M304" s="97">
        <v>4</v>
      </c>
      <c r="N304" s="97">
        <f>SUMIF(B:B,Table1[[#This Row],[Namn]],C:C)</f>
        <v>5</v>
      </c>
      <c r="O304" s="97">
        <f>COUNTIF(B:B,Table1[[#This Row],[Namn]])</f>
        <v>2</v>
      </c>
      <c r="P304" s="97">
        <f>SUMIF(B:B,Table1[[#This Row],[Namn]],G:G)</f>
        <v>1</v>
      </c>
      <c r="Q304" s="97">
        <f>SUMIF(B:B,Table1[[#This Row],[Namn]],E:E)</f>
        <v>0</v>
      </c>
      <c r="R304" s="97">
        <f>SUMIF(B:B,Table1[[#This Row],[Namn]],F:F)</f>
        <v>0</v>
      </c>
    </row>
    <row r="305" spans="1:18" x14ac:dyDescent="0.25">
      <c r="A305" s="97">
        <v>2016</v>
      </c>
      <c r="B305" s="98" t="s">
        <v>96</v>
      </c>
      <c r="C305" s="97">
        <v>1</v>
      </c>
      <c r="D305" s="99">
        <f>IFERROR(Table1[[#This Row],[MAT]]/Table1[[#This Row],[LAG MATCH]],"")</f>
        <v>6.25E-2</v>
      </c>
      <c r="E305" s="97">
        <v>0</v>
      </c>
      <c r="F305" s="97">
        <v>0</v>
      </c>
      <c r="G305" s="97">
        <v>0</v>
      </c>
      <c r="H305" s="97">
        <v>16</v>
      </c>
      <c r="I305" s="100">
        <f t="shared" si="10"/>
        <v>0</v>
      </c>
      <c r="J305" s="97">
        <f>Table1[[#This Row],[ÅR]]</f>
        <v>2016</v>
      </c>
      <c r="K305" s="97">
        <v>2001</v>
      </c>
      <c r="L305" s="97">
        <f>Table1[[#This Row],[ÅR]]-Table1[[#This Row],[FÖDD]]</f>
        <v>15</v>
      </c>
      <c r="M305" s="97">
        <v>4</v>
      </c>
      <c r="N305" s="97">
        <f>SUMIF(B:B,Table1[[#This Row],[Namn]],C:C)</f>
        <v>5</v>
      </c>
      <c r="O305" s="97">
        <f>COUNTIF(B:B,Table1[[#This Row],[Namn]])</f>
        <v>3</v>
      </c>
      <c r="P305" s="97">
        <f>SUMIF(B:B,Table1[[#This Row],[Namn]],G:G)</f>
        <v>0</v>
      </c>
      <c r="Q305" s="97">
        <f>SUMIF(B:B,Table1[[#This Row],[Namn]],E:E)</f>
        <v>0</v>
      </c>
      <c r="R305" s="97">
        <f>SUMIF(B:B,Table1[[#This Row],[Namn]],F:F)</f>
        <v>0</v>
      </c>
    </row>
    <row r="306" spans="1:18" x14ac:dyDescent="0.25">
      <c r="A306" s="97">
        <v>2016</v>
      </c>
      <c r="B306" s="98" t="s">
        <v>147</v>
      </c>
      <c r="C306" s="97">
        <v>1</v>
      </c>
      <c r="D306" s="99">
        <f>IFERROR(Table1[[#This Row],[MAT]]/Table1[[#This Row],[LAG MATCH]],"")</f>
        <v>6.25E-2</v>
      </c>
      <c r="E306" s="97">
        <v>0</v>
      </c>
      <c r="F306" s="97">
        <v>0</v>
      </c>
      <c r="G306" s="97">
        <v>0</v>
      </c>
      <c r="H306" s="97">
        <v>16</v>
      </c>
      <c r="I306" s="100">
        <f t="shared" si="10"/>
        <v>0</v>
      </c>
      <c r="J306" s="97">
        <f>Table1[[#This Row],[ÅR]]</f>
        <v>2016</v>
      </c>
      <c r="K306" s="97">
        <v>2000</v>
      </c>
      <c r="L306" s="97">
        <f>Table1[[#This Row],[ÅR]]-Table1[[#This Row],[FÖDD]]</f>
        <v>16</v>
      </c>
      <c r="M306" s="97">
        <v>4</v>
      </c>
      <c r="N306" s="97">
        <f>SUMIF(B:B,Table1[[#This Row],[Namn]],C:C)</f>
        <v>15</v>
      </c>
      <c r="O306" s="97">
        <f>COUNTIF(B:B,Table1[[#This Row],[Namn]])</f>
        <v>3</v>
      </c>
      <c r="P306" s="97">
        <f>SUMIF(B:B,Table1[[#This Row],[Namn]],G:G)</f>
        <v>0</v>
      </c>
      <c r="Q306" s="97">
        <f>SUMIF(B:B,Table1[[#This Row],[Namn]],E:E)</f>
        <v>0</v>
      </c>
      <c r="R306" s="97">
        <f>SUMIF(B:B,Table1[[#This Row],[Namn]],F:F)</f>
        <v>0</v>
      </c>
    </row>
    <row r="307" spans="1:18" x14ac:dyDescent="0.25">
      <c r="A307" s="97">
        <v>2015</v>
      </c>
      <c r="B307" s="98" t="s">
        <v>133</v>
      </c>
      <c r="C307" s="97">
        <v>22</v>
      </c>
      <c r="D307" s="99">
        <f>IFERROR(Table1[[#This Row],[MAT]]/Table1[[#This Row],[LAG MATCH]],"")</f>
        <v>0.95652173913043481</v>
      </c>
      <c r="E307" s="97">
        <v>0</v>
      </c>
      <c r="F307" s="97">
        <v>0</v>
      </c>
      <c r="G307" s="97">
        <v>48</v>
      </c>
      <c r="H307" s="97">
        <v>23</v>
      </c>
      <c r="I307" s="100">
        <f t="shared" si="10"/>
        <v>2.1818181818181817</v>
      </c>
      <c r="J307" s="97">
        <f>Table1[[#This Row],[ÅR]]</f>
        <v>2015</v>
      </c>
      <c r="K307" s="97">
        <v>1996</v>
      </c>
      <c r="L307" s="97">
        <f>Table1[[#This Row],[ÅR]]-Table1[[#This Row],[FÖDD]]</f>
        <v>19</v>
      </c>
      <c r="M307" s="97">
        <v>4</v>
      </c>
      <c r="N307" s="97">
        <f>SUMIF(B:B,Table1[[#This Row],[Namn]],C:C)</f>
        <v>83</v>
      </c>
      <c r="O307" s="97">
        <f>COUNTIF(B:B,Table1[[#This Row],[Namn]])</f>
        <v>5</v>
      </c>
      <c r="P307" s="97">
        <f>SUMIF(B:B,Table1[[#This Row],[Namn]],G:G)</f>
        <v>119</v>
      </c>
      <c r="Q307" s="97">
        <f>SUMIF(B:B,Table1[[#This Row],[Namn]],E:E)</f>
        <v>0</v>
      </c>
      <c r="R307" s="97">
        <f>SUMIF(B:B,Table1[[#This Row],[Namn]],F:F)</f>
        <v>0</v>
      </c>
    </row>
    <row r="308" spans="1:18" x14ac:dyDescent="0.25">
      <c r="A308" s="97">
        <v>2015</v>
      </c>
      <c r="B308" s="98" t="s">
        <v>148</v>
      </c>
      <c r="C308" s="97">
        <v>22</v>
      </c>
      <c r="D308" s="99">
        <f>IFERROR(Table1[[#This Row],[MAT]]/Table1[[#This Row],[LAG MATCH]],"")</f>
        <v>0.95652173913043481</v>
      </c>
      <c r="E308" s="97">
        <v>1</v>
      </c>
      <c r="F308" s="97">
        <v>0</v>
      </c>
      <c r="G308" s="97">
        <v>28</v>
      </c>
      <c r="H308" s="97">
        <v>23</v>
      </c>
      <c r="I308" s="100">
        <f t="shared" si="10"/>
        <v>1.2727272727272727</v>
      </c>
      <c r="J308" s="97">
        <f>Table1[[#This Row],[ÅR]]</f>
        <v>2015</v>
      </c>
      <c r="K308" s="97">
        <v>2000</v>
      </c>
      <c r="L308" s="97">
        <f>Table1[[#This Row],[ÅR]]-Table1[[#This Row],[FÖDD]]</f>
        <v>15</v>
      </c>
      <c r="M308" s="97">
        <v>4</v>
      </c>
      <c r="N308" s="97">
        <f>SUMIF(B:B,Table1[[#This Row],[Namn]],C:C)</f>
        <v>22</v>
      </c>
      <c r="O308" s="97">
        <f>COUNTIF(B:B,Table1[[#This Row],[Namn]])</f>
        <v>1</v>
      </c>
      <c r="P308" s="97">
        <f>SUMIF(B:B,Table1[[#This Row],[Namn]],G:G)</f>
        <v>28</v>
      </c>
      <c r="Q308" s="97">
        <f>SUMIF(B:B,Table1[[#This Row],[Namn]],E:E)</f>
        <v>1</v>
      </c>
      <c r="R308" s="97">
        <f>SUMIF(B:B,Table1[[#This Row],[Namn]],F:F)</f>
        <v>0</v>
      </c>
    </row>
    <row r="309" spans="1:18" x14ac:dyDescent="0.25">
      <c r="A309" s="97">
        <v>2015</v>
      </c>
      <c r="B309" s="98" t="s">
        <v>74</v>
      </c>
      <c r="C309" s="97">
        <v>21</v>
      </c>
      <c r="D309" s="99">
        <f>IFERROR(Table1[[#This Row],[MAT]]/Table1[[#This Row],[LAG MATCH]],"")</f>
        <v>0.91304347826086951</v>
      </c>
      <c r="E309" s="97">
        <v>0</v>
      </c>
      <c r="F309" s="97">
        <v>0</v>
      </c>
      <c r="G309" s="97">
        <v>7</v>
      </c>
      <c r="H309" s="97">
        <v>23</v>
      </c>
      <c r="I309" s="100">
        <f t="shared" si="10"/>
        <v>0.33333333333333331</v>
      </c>
      <c r="J309" s="97">
        <f>Table1[[#This Row],[ÅR]]</f>
        <v>2015</v>
      </c>
      <c r="K309" s="97">
        <v>1996</v>
      </c>
      <c r="L309" s="97">
        <f>Table1[[#This Row],[ÅR]]-Table1[[#This Row],[FÖDD]]</f>
        <v>19</v>
      </c>
      <c r="M309" s="97">
        <v>4</v>
      </c>
      <c r="N309" s="97">
        <f>SUMIF(B:B,Table1[[#This Row],[Namn]],C:C)</f>
        <v>200</v>
      </c>
      <c r="O309" s="97">
        <f>COUNTIF(B:B,Table1[[#This Row],[Namn]])</f>
        <v>12</v>
      </c>
      <c r="P309" s="97">
        <f>SUMIF(B:B,Table1[[#This Row],[Namn]],G:G)</f>
        <v>9</v>
      </c>
      <c r="Q309" s="97">
        <f>SUMIF(B:B,Table1[[#This Row],[Namn]],E:E)</f>
        <v>1</v>
      </c>
      <c r="R309" s="97">
        <f>SUMIF(B:B,Table1[[#This Row],[Namn]],F:F)</f>
        <v>0</v>
      </c>
    </row>
    <row r="310" spans="1:18" x14ac:dyDescent="0.25">
      <c r="A310" s="97">
        <v>2015</v>
      </c>
      <c r="B310" s="98" t="s">
        <v>108</v>
      </c>
      <c r="C310" s="97">
        <v>21</v>
      </c>
      <c r="D310" s="99">
        <f>IFERROR(Table1[[#This Row],[MAT]]/Table1[[#This Row],[LAG MATCH]],"")</f>
        <v>0.91304347826086951</v>
      </c>
      <c r="E310" s="97">
        <v>0</v>
      </c>
      <c r="F310" s="97">
        <v>0</v>
      </c>
      <c r="G310" s="97">
        <v>0</v>
      </c>
      <c r="H310" s="97">
        <v>23</v>
      </c>
      <c r="I310" s="100">
        <f t="shared" si="10"/>
        <v>0</v>
      </c>
      <c r="J310" s="97">
        <f>Table1[[#This Row],[ÅR]]</f>
        <v>2015</v>
      </c>
      <c r="K310" s="97">
        <v>2000</v>
      </c>
      <c r="L310" s="97">
        <f>Table1[[#This Row],[ÅR]]-Table1[[#This Row],[FÖDD]]</f>
        <v>15</v>
      </c>
      <c r="M310" s="97">
        <v>4</v>
      </c>
      <c r="N310" s="97">
        <f>SUMIF(B:B,Table1[[#This Row],[Namn]],C:C)</f>
        <v>80</v>
      </c>
      <c r="O310" s="97">
        <f>COUNTIF(B:B,Table1[[#This Row],[Namn]])</f>
        <v>5</v>
      </c>
      <c r="P310" s="97">
        <f>SUMIF(B:B,Table1[[#This Row],[Namn]],G:G)</f>
        <v>0</v>
      </c>
      <c r="Q310" s="97">
        <f>SUMIF(B:B,Table1[[#This Row],[Namn]],E:E)</f>
        <v>1</v>
      </c>
      <c r="R310" s="97">
        <f>SUMIF(B:B,Table1[[#This Row],[Namn]],F:F)</f>
        <v>0</v>
      </c>
    </row>
    <row r="311" spans="1:18" x14ac:dyDescent="0.25">
      <c r="A311" s="97">
        <v>2015</v>
      </c>
      <c r="B311" s="98" t="s">
        <v>136</v>
      </c>
      <c r="C311" s="97">
        <v>21</v>
      </c>
      <c r="D311" s="99">
        <f>IFERROR(Table1[[#This Row],[MAT]]/Table1[[#This Row],[LAG MATCH]],"")</f>
        <v>0.91304347826086951</v>
      </c>
      <c r="E311" s="97">
        <v>0</v>
      </c>
      <c r="F311" s="97">
        <v>0</v>
      </c>
      <c r="G311" s="97">
        <v>0</v>
      </c>
      <c r="H311" s="97">
        <v>23</v>
      </c>
      <c r="I311" s="100">
        <f t="shared" si="10"/>
        <v>0</v>
      </c>
      <c r="J311" s="97">
        <f>Table1[[#This Row],[ÅR]]</f>
        <v>2015</v>
      </c>
      <c r="K311" s="97">
        <v>1996</v>
      </c>
      <c r="L311" s="97">
        <f>Table1[[#This Row],[ÅR]]-Table1[[#This Row],[FÖDD]]</f>
        <v>19</v>
      </c>
      <c r="M311" s="97">
        <v>4</v>
      </c>
      <c r="N311" s="97">
        <f>SUMIF(B:B,Table1[[#This Row],[Namn]],C:C)</f>
        <v>69</v>
      </c>
      <c r="O311" s="97">
        <f>COUNTIF(B:B,Table1[[#This Row],[Namn]])</f>
        <v>5</v>
      </c>
      <c r="P311" s="97">
        <f>SUMIF(B:B,Table1[[#This Row],[Namn]],G:G)</f>
        <v>1</v>
      </c>
      <c r="Q311" s="97">
        <f>SUMIF(B:B,Table1[[#This Row],[Namn]],E:E)</f>
        <v>0</v>
      </c>
      <c r="R311" s="97">
        <f>SUMIF(B:B,Table1[[#This Row],[Namn]],F:F)</f>
        <v>0</v>
      </c>
    </row>
    <row r="312" spans="1:18" x14ac:dyDescent="0.25">
      <c r="A312" s="97">
        <v>2015</v>
      </c>
      <c r="B312" s="98" t="s">
        <v>101</v>
      </c>
      <c r="C312" s="97">
        <v>17</v>
      </c>
      <c r="D312" s="99">
        <f>IFERROR(Table1[[#This Row],[MAT]]/Table1[[#This Row],[LAG MATCH]],"")</f>
        <v>0.73913043478260865</v>
      </c>
      <c r="E312" s="97">
        <v>0</v>
      </c>
      <c r="F312" s="97">
        <v>1</v>
      </c>
      <c r="G312" s="97">
        <v>4</v>
      </c>
      <c r="H312" s="97">
        <v>23</v>
      </c>
      <c r="I312" s="100">
        <f t="shared" si="10"/>
        <v>0.23529411764705882</v>
      </c>
      <c r="J312" s="97">
        <f>Table1[[#This Row],[ÅR]]</f>
        <v>2015</v>
      </c>
      <c r="K312" s="97">
        <v>1996</v>
      </c>
      <c r="L312" s="97">
        <f>Table1[[#This Row],[ÅR]]-Table1[[#This Row],[FÖDD]]</f>
        <v>19</v>
      </c>
      <c r="M312" s="97">
        <v>4</v>
      </c>
      <c r="N312" s="97">
        <f>SUMIF(B:B,Table1[[#This Row],[Namn]],C:C)</f>
        <v>121</v>
      </c>
      <c r="O312" s="97">
        <f>COUNTIF(B:B,Table1[[#This Row],[Namn]])</f>
        <v>9</v>
      </c>
      <c r="P312" s="97">
        <f>SUMIF(B:B,Table1[[#This Row],[Namn]],G:G)</f>
        <v>13</v>
      </c>
      <c r="Q312" s="97">
        <f>SUMIF(B:B,Table1[[#This Row],[Namn]],E:E)</f>
        <v>2</v>
      </c>
      <c r="R312" s="97">
        <f>SUMIF(B:B,Table1[[#This Row],[Namn]],F:F)</f>
        <v>1</v>
      </c>
    </row>
    <row r="313" spans="1:18" x14ac:dyDescent="0.25">
      <c r="A313" s="97">
        <v>2015</v>
      </c>
      <c r="B313" s="98" t="s">
        <v>149</v>
      </c>
      <c r="C313" s="97">
        <v>14</v>
      </c>
      <c r="D313" s="99">
        <f>IFERROR(Table1[[#This Row],[MAT]]/Table1[[#This Row],[LAG MATCH]],"")</f>
        <v>0.60869565217391308</v>
      </c>
      <c r="E313" s="97">
        <v>0</v>
      </c>
      <c r="F313" s="97">
        <v>0</v>
      </c>
      <c r="G313" s="97">
        <v>2</v>
      </c>
      <c r="H313" s="97">
        <v>23</v>
      </c>
      <c r="I313" s="100">
        <f t="shared" si="10"/>
        <v>0.14285714285714285</v>
      </c>
      <c r="J313" s="97">
        <f>Table1[[#This Row],[ÅR]]</f>
        <v>2015</v>
      </c>
      <c r="K313" s="97">
        <v>2000</v>
      </c>
      <c r="L313" s="97">
        <f>Table1[[#This Row],[ÅR]]-Table1[[#This Row],[FÖDD]]</f>
        <v>15</v>
      </c>
      <c r="M313" s="97">
        <v>4</v>
      </c>
      <c r="N313" s="97">
        <f>SUMIF(B:B,Table1[[#This Row],[Namn]],C:C)</f>
        <v>14</v>
      </c>
      <c r="O313" s="97">
        <f>COUNTIF(B:B,Table1[[#This Row],[Namn]])</f>
        <v>1</v>
      </c>
      <c r="P313" s="97">
        <f>SUMIF(B:B,Table1[[#This Row],[Namn]],G:G)</f>
        <v>2</v>
      </c>
      <c r="Q313" s="97">
        <f>SUMIF(B:B,Table1[[#This Row],[Namn]],E:E)</f>
        <v>0</v>
      </c>
      <c r="R313" s="97">
        <f>SUMIF(B:B,Table1[[#This Row],[Namn]],F:F)</f>
        <v>0</v>
      </c>
    </row>
    <row r="314" spans="1:18" x14ac:dyDescent="0.25">
      <c r="A314" s="97">
        <v>2015</v>
      </c>
      <c r="B314" s="98" t="s">
        <v>150</v>
      </c>
      <c r="C314" s="97">
        <v>14</v>
      </c>
      <c r="D314" s="99">
        <f>IFERROR(Table1[[#This Row],[MAT]]/Table1[[#This Row],[LAG MATCH]],"")</f>
        <v>0.60869565217391308</v>
      </c>
      <c r="E314" s="97">
        <v>0</v>
      </c>
      <c r="F314" s="97">
        <v>0</v>
      </c>
      <c r="G314" s="97">
        <v>0</v>
      </c>
      <c r="H314" s="97">
        <v>23</v>
      </c>
      <c r="I314" s="100">
        <f t="shared" si="10"/>
        <v>0</v>
      </c>
      <c r="J314" s="97">
        <f>Table1[[#This Row],[ÅR]]</f>
        <v>2015</v>
      </c>
      <c r="K314" s="97">
        <v>1999</v>
      </c>
      <c r="L314" s="97">
        <f>Table1[[#This Row],[ÅR]]-Table1[[#This Row],[FÖDD]]</f>
        <v>16</v>
      </c>
      <c r="M314" s="97">
        <v>4</v>
      </c>
      <c r="N314" s="97">
        <f>SUMIF(B:B,Table1[[#This Row],[Namn]],C:C)</f>
        <v>19</v>
      </c>
      <c r="O314" s="97">
        <f>COUNTIF(B:B,Table1[[#This Row],[Namn]])</f>
        <v>3</v>
      </c>
      <c r="P314" s="97">
        <f>SUMIF(B:B,Table1[[#This Row],[Namn]],G:G)</f>
        <v>0</v>
      </c>
      <c r="Q314" s="97">
        <f>SUMIF(B:B,Table1[[#This Row],[Namn]],E:E)</f>
        <v>0</v>
      </c>
      <c r="R314" s="97">
        <f>SUMIF(B:B,Table1[[#This Row],[Namn]],F:F)</f>
        <v>0</v>
      </c>
    </row>
    <row r="315" spans="1:18" x14ac:dyDescent="0.25">
      <c r="A315" s="97">
        <v>2015</v>
      </c>
      <c r="B315" s="98" t="s">
        <v>147</v>
      </c>
      <c r="C315" s="97">
        <v>13</v>
      </c>
      <c r="D315" s="99">
        <f>IFERROR(Table1[[#This Row],[MAT]]/Table1[[#This Row],[LAG MATCH]],"")</f>
        <v>0.56521739130434778</v>
      </c>
      <c r="E315" s="97">
        <v>0</v>
      </c>
      <c r="F315" s="97">
        <v>0</v>
      </c>
      <c r="G315" s="97">
        <v>0</v>
      </c>
      <c r="H315" s="97">
        <v>23</v>
      </c>
      <c r="I315" s="100">
        <f t="shared" si="10"/>
        <v>0</v>
      </c>
      <c r="J315" s="97">
        <f>Table1[[#This Row],[ÅR]]</f>
        <v>2015</v>
      </c>
      <c r="K315" s="97">
        <v>2000</v>
      </c>
      <c r="L315" s="97">
        <f>Table1[[#This Row],[ÅR]]-Table1[[#This Row],[FÖDD]]</f>
        <v>15</v>
      </c>
      <c r="M315" s="97">
        <v>4</v>
      </c>
      <c r="N315" s="97">
        <f>SUMIF(B:B,Table1[[#This Row],[Namn]],C:C)</f>
        <v>15</v>
      </c>
      <c r="O315" s="97">
        <f>COUNTIF(B:B,Table1[[#This Row],[Namn]])</f>
        <v>3</v>
      </c>
      <c r="P315" s="97">
        <f>SUMIF(B:B,Table1[[#This Row],[Namn]],G:G)</f>
        <v>0</v>
      </c>
      <c r="Q315" s="97">
        <f>SUMIF(B:B,Table1[[#This Row],[Namn]],E:E)</f>
        <v>0</v>
      </c>
      <c r="R315" s="97">
        <f>SUMIF(B:B,Table1[[#This Row],[Namn]],F:F)</f>
        <v>0</v>
      </c>
    </row>
    <row r="316" spans="1:18" x14ac:dyDescent="0.25">
      <c r="A316" s="97">
        <v>2015</v>
      </c>
      <c r="B316" s="98" t="s">
        <v>131</v>
      </c>
      <c r="C316" s="97">
        <v>12</v>
      </c>
      <c r="D316" s="99">
        <f>IFERROR(Table1[[#This Row],[MAT]]/Table1[[#This Row],[LAG MATCH]],"")</f>
        <v>0.52173913043478259</v>
      </c>
      <c r="E316" s="97">
        <v>0</v>
      </c>
      <c r="F316" s="97">
        <v>0</v>
      </c>
      <c r="G316" s="97">
        <v>13</v>
      </c>
      <c r="H316" s="97">
        <v>23</v>
      </c>
      <c r="I316" s="100">
        <f t="shared" si="10"/>
        <v>1.0833333333333333</v>
      </c>
      <c r="J316" s="97">
        <f>Table1[[#This Row],[ÅR]]</f>
        <v>2015</v>
      </c>
      <c r="K316" s="97">
        <v>1996</v>
      </c>
      <c r="L316" s="97">
        <f>Table1[[#This Row],[ÅR]]-Table1[[#This Row],[FÖDD]]</f>
        <v>19</v>
      </c>
      <c r="M316" s="97">
        <v>4</v>
      </c>
      <c r="N316" s="97">
        <f>SUMIF(B:B,Table1[[#This Row],[Namn]],C:C)</f>
        <v>13</v>
      </c>
      <c r="O316" s="97">
        <f>COUNTIF(B:B,Table1[[#This Row],[Namn]])</f>
        <v>2</v>
      </c>
      <c r="P316" s="97">
        <f>SUMIF(B:B,Table1[[#This Row],[Namn]],G:G)</f>
        <v>13</v>
      </c>
      <c r="Q316" s="97">
        <f>SUMIF(B:B,Table1[[#This Row],[Namn]],E:E)</f>
        <v>0</v>
      </c>
      <c r="R316" s="97">
        <f>SUMIF(B:B,Table1[[#This Row],[Namn]],F:F)</f>
        <v>0</v>
      </c>
    </row>
    <row r="317" spans="1:18" x14ac:dyDescent="0.25">
      <c r="A317" s="97">
        <v>2015</v>
      </c>
      <c r="B317" s="98" t="s">
        <v>135</v>
      </c>
      <c r="C317" s="97">
        <v>11</v>
      </c>
      <c r="D317" s="99">
        <f>IFERROR(Table1[[#This Row],[MAT]]/Table1[[#This Row],[LAG MATCH]],"")</f>
        <v>0.47826086956521741</v>
      </c>
      <c r="E317" s="97">
        <v>1</v>
      </c>
      <c r="F317" s="97">
        <v>0</v>
      </c>
      <c r="G317" s="97">
        <v>3</v>
      </c>
      <c r="H317" s="97">
        <v>23</v>
      </c>
      <c r="I317" s="100">
        <f t="shared" si="10"/>
        <v>0.27272727272727271</v>
      </c>
      <c r="J317" s="97">
        <f>Table1[[#This Row],[ÅR]]</f>
        <v>2015</v>
      </c>
      <c r="K317" s="97">
        <v>1996</v>
      </c>
      <c r="L317" s="97">
        <f>Table1[[#This Row],[ÅR]]-Table1[[#This Row],[FÖDD]]</f>
        <v>19</v>
      </c>
      <c r="M317" s="97">
        <v>4</v>
      </c>
      <c r="N317" s="97">
        <f>SUMIF(B:B,Table1[[#This Row],[Namn]],C:C)</f>
        <v>60</v>
      </c>
      <c r="O317" s="97">
        <f>COUNTIF(B:B,Table1[[#This Row],[Namn]])</f>
        <v>7</v>
      </c>
      <c r="P317" s="97">
        <f>SUMIF(B:B,Table1[[#This Row],[Namn]],G:G)</f>
        <v>6</v>
      </c>
      <c r="Q317" s="97">
        <f>SUMIF(B:B,Table1[[#This Row],[Namn]],E:E)</f>
        <v>3</v>
      </c>
      <c r="R317" s="97">
        <f>SUMIF(B:B,Table1[[#This Row],[Namn]],F:F)</f>
        <v>0</v>
      </c>
    </row>
    <row r="318" spans="1:18" x14ac:dyDescent="0.25">
      <c r="A318" s="97">
        <v>2015</v>
      </c>
      <c r="B318" s="98" t="s">
        <v>134</v>
      </c>
      <c r="C318" s="97">
        <v>11</v>
      </c>
      <c r="D318" s="99">
        <f>IFERROR(Table1[[#This Row],[MAT]]/Table1[[#This Row],[LAG MATCH]],"")</f>
        <v>0.47826086956521741</v>
      </c>
      <c r="E318" s="97">
        <v>0</v>
      </c>
      <c r="F318" s="97">
        <v>0</v>
      </c>
      <c r="G318" s="97">
        <v>3</v>
      </c>
      <c r="H318" s="97">
        <v>23</v>
      </c>
      <c r="I318" s="100">
        <f t="shared" si="10"/>
        <v>0.27272727272727271</v>
      </c>
      <c r="J318" s="97">
        <f>Table1[[#This Row],[ÅR]]</f>
        <v>2015</v>
      </c>
      <c r="K318" s="97">
        <v>2000</v>
      </c>
      <c r="L318" s="97">
        <f>Table1[[#This Row],[ÅR]]-Table1[[#This Row],[FÖDD]]</f>
        <v>15</v>
      </c>
      <c r="M318" s="97">
        <v>4</v>
      </c>
      <c r="N318" s="97">
        <f>SUMIF(B:B,Table1[[#This Row],[Namn]],C:C)</f>
        <v>23</v>
      </c>
      <c r="O318" s="97">
        <f>COUNTIF(B:B,Table1[[#This Row],[Namn]])</f>
        <v>2</v>
      </c>
      <c r="P318" s="97">
        <f>SUMIF(B:B,Table1[[#This Row],[Namn]],G:G)</f>
        <v>6</v>
      </c>
      <c r="Q318" s="97">
        <f>SUMIF(B:B,Table1[[#This Row],[Namn]],E:E)</f>
        <v>0</v>
      </c>
      <c r="R318" s="97">
        <f>SUMIF(B:B,Table1[[#This Row],[Namn]],F:F)</f>
        <v>0</v>
      </c>
    </row>
    <row r="319" spans="1:18" x14ac:dyDescent="0.25">
      <c r="A319" s="97">
        <v>2015</v>
      </c>
      <c r="B319" s="98" t="s">
        <v>151</v>
      </c>
      <c r="C319" s="97">
        <v>11</v>
      </c>
      <c r="D319" s="99">
        <f>IFERROR(Table1[[#This Row],[MAT]]/Table1[[#This Row],[LAG MATCH]],"")</f>
        <v>0.47826086956521741</v>
      </c>
      <c r="E319" s="97">
        <v>0</v>
      </c>
      <c r="F319" s="97">
        <v>0</v>
      </c>
      <c r="G319" s="97">
        <v>1</v>
      </c>
      <c r="H319" s="97">
        <v>23</v>
      </c>
      <c r="I319" s="100">
        <f t="shared" si="10"/>
        <v>9.0909090909090912E-2</v>
      </c>
      <c r="J319" s="97">
        <f>Table1[[#This Row],[ÅR]]</f>
        <v>2015</v>
      </c>
      <c r="K319" s="97">
        <v>1999</v>
      </c>
      <c r="L319" s="97">
        <f>Table1[[#This Row],[ÅR]]-Table1[[#This Row],[FÖDD]]</f>
        <v>16</v>
      </c>
      <c r="M319" s="97">
        <v>4</v>
      </c>
      <c r="N319" s="97">
        <f>SUMIF(B:B,Table1[[#This Row],[Namn]],C:C)</f>
        <v>12</v>
      </c>
      <c r="O319" s="97">
        <f>COUNTIF(B:B,Table1[[#This Row],[Namn]])</f>
        <v>2</v>
      </c>
      <c r="P319" s="97">
        <f>SUMIF(B:B,Table1[[#This Row],[Namn]],G:G)</f>
        <v>1</v>
      </c>
      <c r="Q319" s="97">
        <f>SUMIF(B:B,Table1[[#This Row],[Namn]],E:E)</f>
        <v>0</v>
      </c>
      <c r="R319" s="97">
        <f>SUMIF(B:B,Table1[[#This Row],[Namn]],F:F)</f>
        <v>0</v>
      </c>
    </row>
    <row r="320" spans="1:18" x14ac:dyDescent="0.25">
      <c r="A320" s="97">
        <v>2015</v>
      </c>
      <c r="B320" s="98" t="s">
        <v>140</v>
      </c>
      <c r="C320" s="97">
        <v>11</v>
      </c>
      <c r="D320" s="99">
        <f>IFERROR(Table1[[#This Row],[MAT]]/Table1[[#This Row],[LAG MATCH]],"")</f>
        <v>0.47826086956521741</v>
      </c>
      <c r="E320" s="97">
        <v>0</v>
      </c>
      <c r="F320" s="97">
        <v>0</v>
      </c>
      <c r="G320" s="97">
        <v>0</v>
      </c>
      <c r="H320" s="97">
        <v>23</v>
      </c>
      <c r="I320" s="100">
        <f t="shared" si="10"/>
        <v>0</v>
      </c>
      <c r="J320" s="97">
        <f>Table1[[#This Row],[ÅR]]</f>
        <v>2015</v>
      </c>
      <c r="K320" s="97">
        <v>2000</v>
      </c>
      <c r="L320" s="97">
        <f>Table1[[#This Row],[ÅR]]-Table1[[#This Row],[FÖDD]]</f>
        <v>15</v>
      </c>
      <c r="M320" s="97">
        <v>4</v>
      </c>
      <c r="N320" s="97">
        <f>SUMIF(B:B,Table1[[#This Row],[Namn]],C:C)</f>
        <v>17</v>
      </c>
      <c r="O320" s="97">
        <f>COUNTIF(B:B,Table1[[#This Row],[Namn]])</f>
        <v>2</v>
      </c>
      <c r="P320" s="97">
        <f>SUMIF(B:B,Table1[[#This Row],[Namn]],G:G)</f>
        <v>1</v>
      </c>
      <c r="Q320" s="97">
        <f>SUMIF(B:B,Table1[[#This Row],[Namn]],E:E)</f>
        <v>0</v>
      </c>
      <c r="R320" s="97">
        <f>SUMIF(B:B,Table1[[#This Row],[Namn]],F:F)</f>
        <v>0</v>
      </c>
    </row>
    <row r="321" spans="1:18" x14ac:dyDescent="0.25">
      <c r="A321" s="97">
        <v>2015</v>
      </c>
      <c r="B321" s="98" t="s">
        <v>152</v>
      </c>
      <c r="C321" s="97">
        <v>11</v>
      </c>
      <c r="D321" s="99">
        <f>IFERROR(Table1[[#This Row],[MAT]]/Table1[[#This Row],[LAG MATCH]],"")</f>
        <v>0.47826086956521741</v>
      </c>
      <c r="E321" s="97">
        <v>0</v>
      </c>
      <c r="F321" s="97">
        <v>0</v>
      </c>
      <c r="G321" s="97">
        <v>0</v>
      </c>
      <c r="H321" s="97">
        <v>23</v>
      </c>
      <c r="I321" s="100">
        <f t="shared" si="10"/>
        <v>0</v>
      </c>
      <c r="J321" s="97">
        <f>Table1[[#This Row],[ÅR]]</f>
        <v>2015</v>
      </c>
      <c r="K321" s="97">
        <v>2000</v>
      </c>
      <c r="L321" s="97">
        <f>Table1[[#This Row],[ÅR]]-Table1[[#This Row],[FÖDD]]</f>
        <v>15</v>
      </c>
      <c r="M321" s="97">
        <v>4</v>
      </c>
      <c r="N321" s="97">
        <f>SUMIF(B:B,Table1[[#This Row],[Namn]],C:C)</f>
        <v>11</v>
      </c>
      <c r="O321" s="97">
        <f>COUNTIF(B:B,Table1[[#This Row],[Namn]])</f>
        <v>1</v>
      </c>
      <c r="P321" s="97">
        <f>SUMIF(B:B,Table1[[#This Row],[Namn]],G:G)</f>
        <v>0</v>
      </c>
      <c r="Q321" s="97">
        <f>SUMIF(B:B,Table1[[#This Row],[Namn]],E:E)</f>
        <v>0</v>
      </c>
      <c r="R321" s="97">
        <f>SUMIF(B:B,Table1[[#This Row],[Namn]],F:F)</f>
        <v>0</v>
      </c>
    </row>
    <row r="322" spans="1:18" x14ac:dyDescent="0.25">
      <c r="A322" s="97">
        <v>2015</v>
      </c>
      <c r="B322" s="98" t="s">
        <v>153</v>
      </c>
      <c r="C322" s="97">
        <v>9</v>
      </c>
      <c r="D322" s="99">
        <f>IFERROR(Table1[[#This Row],[MAT]]/Table1[[#This Row],[LAG MATCH]],"")</f>
        <v>0.39130434782608697</v>
      </c>
      <c r="E322" s="97">
        <v>2</v>
      </c>
      <c r="F322" s="97">
        <v>0</v>
      </c>
      <c r="G322" s="97">
        <v>3</v>
      </c>
      <c r="H322" s="97">
        <v>23</v>
      </c>
      <c r="I322" s="100">
        <f t="shared" si="10"/>
        <v>0.33333333333333331</v>
      </c>
      <c r="J322" s="97">
        <f>Table1[[#This Row],[ÅR]]</f>
        <v>2015</v>
      </c>
      <c r="K322" s="97">
        <v>1992</v>
      </c>
      <c r="L322" s="97">
        <f>Table1[[#This Row],[ÅR]]-Table1[[#This Row],[FÖDD]]</f>
        <v>23</v>
      </c>
      <c r="M322" s="97">
        <v>4</v>
      </c>
      <c r="N322" s="97">
        <f>SUMIF(B:B,Table1[[#This Row],[Namn]],C:C)</f>
        <v>39</v>
      </c>
      <c r="O322" s="97">
        <f>COUNTIF(B:B,Table1[[#This Row],[Namn]])</f>
        <v>5</v>
      </c>
      <c r="P322" s="97">
        <f>SUMIF(B:B,Table1[[#This Row],[Namn]],G:G)</f>
        <v>11</v>
      </c>
      <c r="Q322" s="97">
        <f>SUMIF(B:B,Table1[[#This Row],[Namn]],E:E)</f>
        <v>3</v>
      </c>
      <c r="R322" s="97">
        <f>SUMIF(B:B,Table1[[#This Row],[Namn]],F:F)</f>
        <v>0</v>
      </c>
    </row>
    <row r="323" spans="1:18" x14ac:dyDescent="0.25">
      <c r="A323" s="97">
        <v>2015</v>
      </c>
      <c r="B323" s="98" t="s">
        <v>154</v>
      </c>
      <c r="C323" s="97">
        <v>9</v>
      </c>
      <c r="D323" s="99">
        <f>IFERROR(Table1[[#This Row],[MAT]]/Table1[[#This Row],[LAG MATCH]],"")</f>
        <v>0.39130434782608697</v>
      </c>
      <c r="E323" s="97">
        <v>0</v>
      </c>
      <c r="F323" s="97">
        <v>0</v>
      </c>
      <c r="G323" s="97">
        <v>3</v>
      </c>
      <c r="H323" s="97">
        <v>23</v>
      </c>
      <c r="I323" s="100">
        <f t="shared" si="10"/>
        <v>0.33333333333333331</v>
      </c>
      <c r="J323" s="97">
        <f>Table1[[#This Row],[ÅR]]</f>
        <v>2015</v>
      </c>
      <c r="K323" s="97">
        <v>1999</v>
      </c>
      <c r="L323" s="97">
        <f>Table1[[#This Row],[ÅR]]-Table1[[#This Row],[FÖDD]]</f>
        <v>16</v>
      </c>
      <c r="M323" s="97">
        <v>4</v>
      </c>
      <c r="N323" s="97">
        <f>SUMIF(B:B,Table1[[#This Row],[Namn]],C:C)</f>
        <v>9</v>
      </c>
      <c r="O323" s="97">
        <f>COUNTIF(B:B,Table1[[#This Row],[Namn]])</f>
        <v>1</v>
      </c>
      <c r="P323" s="97">
        <f>SUMIF(B:B,Table1[[#This Row],[Namn]],G:G)</f>
        <v>3</v>
      </c>
      <c r="Q323" s="97">
        <f>SUMIF(B:B,Table1[[#This Row],[Namn]],E:E)</f>
        <v>0</v>
      </c>
      <c r="R323" s="97">
        <f>SUMIF(B:B,Table1[[#This Row],[Namn]],F:F)</f>
        <v>0</v>
      </c>
    </row>
    <row r="324" spans="1:18" x14ac:dyDescent="0.25">
      <c r="A324" s="97">
        <v>2015</v>
      </c>
      <c r="B324" s="98" t="s">
        <v>132</v>
      </c>
      <c r="C324" s="97">
        <v>9</v>
      </c>
      <c r="D324" s="99">
        <f>IFERROR(Table1[[#This Row],[MAT]]/Table1[[#This Row],[LAG MATCH]],"")</f>
        <v>0.39130434782608697</v>
      </c>
      <c r="E324" s="97">
        <v>0</v>
      </c>
      <c r="F324" s="97">
        <v>0</v>
      </c>
      <c r="G324" s="97">
        <v>0</v>
      </c>
      <c r="H324" s="97">
        <v>23</v>
      </c>
      <c r="I324" s="100">
        <f t="shared" si="10"/>
        <v>0</v>
      </c>
      <c r="J324" s="97">
        <f>Table1[[#This Row],[ÅR]]</f>
        <v>2015</v>
      </c>
      <c r="K324" s="97">
        <v>2000</v>
      </c>
      <c r="L324" s="97">
        <f>Table1[[#This Row],[ÅR]]-Table1[[#This Row],[FÖDD]]</f>
        <v>15</v>
      </c>
      <c r="M324" s="97">
        <v>4</v>
      </c>
      <c r="N324" s="97">
        <f>SUMIF(B:B,Table1[[#This Row],[Namn]],C:C)</f>
        <v>23</v>
      </c>
      <c r="O324" s="97">
        <f>COUNTIF(B:B,Table1[[#This Row],[Namn]])</f>
        <v>2</v>
      </c>
      <c r="P324" s="97">
        <f>SUMIF(B:B,Table1[[#This Row],[Namn]],G:G)</f>
        <v>2</v>
      </c>
      <c r="Q324" s="97">
        <f>SUMIF(B:B,Table1[[#This Row],[Namn]],E:E)</f>
        <v>0</v>
      </c>
      <c r="R324" s="97">
        <f>SUMIF(B:B,Table1[[#This Row],[Namn]],F:F)</f>
        <v>0</v>
      </c>
    </row>
    <row r="325" spans="1:18" x14ac:dyDescent="0.25">
      <c r="A325" s="97">
        <v>2015</v>
      </c>
      <c r="B325" s="98" t="s">
        <v>155</v>
      </c>
      <c r="C325" s="97">
        <v>9</v>
      </c>
      <c r="D325" s="99">
        <f>IFERROR(Table1[[#This Row],[MAT]]/Table1[[#This Row],[LAG MATCH]],"")</f>
        <v>0.39130434782608697</v>
      </c>
      <c r="E325" s="97">
        <v>0</v>
      </c>
      <c r="F325" s="97">
        <v>0</v>
      </c>
      <c r="G325" s="97">
        <v>0</v>
      </c>
      <c r="H325" s="97">
        <v>23</v>
      </c>
      <c r="I325" s="100">
        <f t="shared" si="10"/>
        <v>0</v>
      </c>
      <c r="J325" s="97">
        <f>Table1[[#This Row],[ÅR]]</f>
        <v>2015</v>
      </c>
      <c r="K325" s="97">
        <v>1991</v>
      </c>
      <c r="L325" s="97">
        <f>Table1[[#This Row],[ÅR]]-Table1[[#This Row],[FÖDD]]</f>
        <v>24</v>
      </c>
      <c r="M325" s="97">
        <v>4</v>
      </c>
      <c r="N325" s="97">
        <f>SUMIF(B:B,Table1[[#This Row],[Namn]],C:C)</f>
        <v>9</v>
      </c>
      <c r="O325" s="97">
        <f>COUNTIF(B:B,Table1[[#This Row],[Namn]])</f>
        <v>1</v>
      </c>
      <c r="P325" s="97">
        <f>SUMIF(B:B,Table1[[#This Row],[Namn]],G:G)</f>
        <v>0</v>
      </c>
      <c r="Q325" s="97">
        <f>SUMIF(B:B,Table1[[#This Row],[Namn]],E:E)</f>
        <v>0</v>
      </c>
      <c r="R325" s="97">
        <f>SUMIF(B:B,Table1[[#This Row],[Namn]],F:F)</f>
        <v>0</v>
      </c>
    </row>
    <row r="326" spans="1:18" x14ac:dyDescent="0.25">
      <c r="A326" s="97">
        <v>2015</v>
      </c>
      <c r="B326" s="98" t="s">
        <v>137</v>
      </c>
      <c r="C326" s="97">
        <v>7</v>
      </c>
      <c r="D326" s="99">
        <f>IFERROR(Table1[[#This Row],[MAT]]/Table1[[#This Row],[LAG MATCH]],"")</f>
        <v>0.30434782608695654</v>
      </c>
      <c r="E326" s="97">
        <v>0</v>
      </c>
      <c r="F326" s="97">
        <v>0</v>
      </c>
      <c r="G326" s="97">
        <v>0</v>
      </c>
      <c r="H326" s="97">
        <v>23</v>
      </c>
      <c r="I326" s="100">
        <f t="shared" si="10"/>
        <v>0</v>
      </c>
      <c r="J326" s="97">
        <f>Table1[[#This Row],[ÅR]]</f>
        <v>2015</v>
      </c>
      <c r="K326" s="97">
        <v>1996</v>
      </c>
      <c r="L326" s="97">
        <f>Table1[[#This Row],[ÅR]]-Table1[[#This Row],[FÖDD]]</f>
        <v>19</v>
      </c>
      <c r="M326" s="97">
        <v>4</v>
      </c>
      <c r="N326" s="97">
        <f>SUMIF(B:B,Table1[[#This Row],[Namn]],C:C)</f>
        <v>44</v>
      </c>
      <c r="O326" s="97">
        <f>COUNTIF(B:B,Table1[[#This Row],[Namn]])</f>
        <v>5</v>
      </c>
      <c r="P326" s="97">
        <f>SUMIF(B:B,Table1[[#This Row],[Namn]],G:G)</f>
        <v>4</v>
      </c>
      <c r="Q326" s="97">
        <f>SUMIF(B:B,Table1[[#This Row],[Namn]],E:E)</f>
        <v>0</v>
      </c>
      <c r="R326" s="97">
        <f>SUMIF(B:B,Table1[[#This Row],[Namn]],F:F)</f>
        <v>0</v>
      </c>
    </row>
    <row r="327" spans="1:18" x14ac:dyDescent="0.25">
      <c r="A327" s="97">
        <v>2015</v>
      </c>
      <c r="B327" s="98" t="s">
        <v>97</v>
      </c>
      <c r="C327" s="97">
        <v>6</v>
      </c>
      <c r="D327" s="99">
        <f>IFERROR(Table1[[#This Row],[MAT]]/Table1[[#This Row],[LAG MATCH]],"")</f>
        <v>0.2608695652173913</v>
      </c>
      <c r="E327" s="97">
        <v>0</v>
      </c>
      <c r="F327" s="97">
        <v>0</v>
      </c>
      <c r="G327" s="97">
        <v>0</v>
      </c>
      <c r="H327" s="97">
        <v>23</v>
      </c>
      <c r="I327" s="100">
        <f t="shared" si="10"/>
        <v>0</v>
      </c>
      <c r="J327" s="97">
        <f>Table1[[#This Row],[ÅR]]</f>
        <v>2015</v>
      </c>
      <c r="K327" s="97">
        <v>2001</v>
      </c>
      <c r="L327" s="97">
        <f>Table1[[#This Row],[ÅR]]-Table1[[#This Row],[FÖDD]]</f>
        <v>14</v>
      </c>
      <c r="M327" s="97">
        <v>4</v>
      </c>
      <c r="N327" s="97">
        <f>SUMIF(B:B,Table1[[#This Row],[Namn]],C:C)</f>
        <v>14</v>
      </c>
      <c r="O327" s="97">
        <f>COUNTIF(B:B,Table1[[#This Row],[Namn]])</f>
        <v>3</v>
      </c>
      <c r="P327" s="97">
        <f>SUMIF(B:B,Table1[[#This Row],[Namn]],G:G)</f>
        <v>1</v>
      </c>
      <c r="Q327" s="97">
        <f>SUMIF(B:B,Table1[[#This Row],[Namn]],E:E)</f>
        <v>0</v>
      </c>
      <c r="R327" s="97">
        <f>SUMIF(B:B,Table1[[#This Row],[Namn]],F:F)</f>
        <v>0</v>
      </c>
    </row>
    <row r="328" spans="1:18" x14ac:dyDescent="0.25">
      <c r="A328" s="97">
        <v>2015</v>
      </c>
      <c r="B328" s="98" t="s">
        <v>156</v>
      </c>
      <c r="C328" s="97">
        <v>6</v>
      </c>
      <c r="D328" s="99">
        <f>IFERROR(Table1[[#This Row],[MAT]]/Table1[[#This Row],[LAG MATCH]],"")</f>
        <v>0.2608695652173913</v>
      </c>
      <c r="E328" s="97">
        <v>0</v>
      </c>
      <c r="F328" s="97">
        <v>0</v>
      </c>
      <c r="G328" s="97">
        <v>0</v>
      </c>
      <c r="H328" s="97">
        <v>23</v>
      </c>
      <c r="I328" s="100">
        <f t="shared" si="10"/>
        <v>0</v>
      </c>
      <c r="J328" s="97">
        <f>Table1[[#This Row],[ÅR]]</f>
        <v>2015</v>
      </c>
      <c r="K328" s="97">
        <v>1999</v>
      </c>
      <c r="L328" s="97">
        <f>Table1[[#This Row],[ÅR]]-Table1[[#This Row],[FÖDD]]</f>
        <v>16</v>
      </c>
      <c r="M328" s="97">
        <v>4</v>
      </c>
      <c r="N328" s="97">
        <f>SUMIF(B:B,Table1[[#This Row],[Namn]],C:C)</f>
        <v>9</v>
      </c>
      <c r="O328" s="97">
        <f>COUNTIF(B:B,Table1[[#This Row],[Namn]])</f>
        <v>3</v>
      </c>
      <c r="P328" s="97">
        <f>SUMIF(B:B,Table1[[#This Row],[Namn]],G:G)</f>
        <v>0</v>
      </c>
      <c r="Q328" s="97">
        <f>SUMIF(B:B,Table1[[#This Row],[Namn]],E:E)</f>
        <v>0</v>
      </c>
      <c r="R328" s="97">
        <f>SUMIF(B:B,Table1[[#This Row],[Namn]],F:F)</f>
        <v>0</v>
      </c>
    </row>
    <row r="329" spans="1:18" x14ac:dyDescent="0.25">
      <c r="A329" s="97">
        <v>2015</v>
      </c>
      <c r="B329" s="98" t="s">
        <v>64</v>
      </c>
      <c r="C329" s="97">
        <v>5</v>
      </c>
      <c r="D329" s="99">
        <f>IFERROR(Table1[[#This Row],[MAT]]/Table1[[#This Row],[LAG MATCH]],"")</f>
        <v>0.21739130434782608</v>
      </c>
      <c r="E329" s="97">
        <v>0</v>
      </c>
      <c r="F329" s="97">
        <v>0</v>
      </c>
      <c r="G329" s="97">
        <v>1</v>
      </c>
      <c r="H329" s="97">
        <v>23</v>
      </c>
      <c r="I329" s="100">
        <f t="shared" si="10"/>
        <v>0.2</v>
      </c>
      <c r="J329" s="97">
        <f>Table1[[#This Row],[ÅR]]</f>
        <v>2015</v>
      </c>
      <c r="K329" s="97">
        <v>2001</v>
      </c>
      <c r="L329" s="97">
        <f>Table1[[#This Row],[ÅR]]-Table1[[#This Row],[FÖDD]]</f>
        <v>14</v>
      </c>
      <c r="M329" s="97">
        <v>4</v>
      </c>
      <c r="N329" s="97">
        <f>SUMIF(B:B,Table1[[#This Row],[Namn]],C:C)</f>
        <v>48</v>
      </c>
      <c r="O329" s="97">
        <f>COUNTIF(B:B,Table1[[#This Row],[Namn]])</f>
        <v>8</v>
      </c>
      <c r="P329" s="97">
        <f>SUMIF(B:B,Table1[[#This Row],[Namn]],G:G)</f>
        <v>14</v>
      </c>
      <c r="Q329" s="97">
        <f>SUMIF(B:B,Table1[[#This Row],[Namn]],E:E)</f>
        <v>1</v>
      </c>
      <c r="R329" s="97">
        <f>SUMIF(B:B,Table1[[#This Row],[Namn]],F:F)</f>
        <v>0</v>
      </c>
    </row>
    <row r="330" spans="1:18" x14ac:dyDescent="0.25">
      <c r="A330" s="97">
        <v>2015</v>
      </c>
      <c r="B330" s="98" t="s">
        <v>157</v>
      </c>
      <c r="C330" s="97">
        <v>5</v>
      </c>
      <c r="D330" s="99">
        <f>IFERROR(Table1[[#This Row],[MAT]]/Table1[[#This Row],[LAG MATCH]],"")</f>
        <v>0.21739130434782608</v>
      </c>
      <c r="E330" s="97">
        <v>0</v>
      </c>
      <c r="F330" s="97">
        <v>0</v>
      </c>
      <c r="G330" s="97">
        <v>1</v>
      </c>
      <c r="H330" s="97">
        <v>23</v>
      </c>
      <c r="I330" s="100">
        <f t="shared" si="10"/>
        <v>0.2</v>
      </c>
      <c r="J330" s="97">
        <f>Table1[[#This Row],[ÅR]]</f>
        <v>2015</v>
      </c>
      <c r="K330" s="97">
        <v>2001</v>
      </c>
      <c r="L330" s="97">
        <f>Table1[[#This Row],[ÅR]]-Table1[[#This Row],[FÖDD]]</f>
        <v>14</v>
      </c>
      <c r="M330" s="97">
        <v>4</v>
      </c>
      <c r="N330" s="97">
        <f>SUMIF(B:B,Table1[[#This Row],[Namn]],C:C)</f>
        <v>5</v>
      </c>
      <c r="O330" s="97">
        <f>COUNTIF(B:B,Table1[[#This Row],[Namn]])</f>
        <v>1</v>
      </c>
      <c r="P330" s="97">
        <f>SUMIF(B:B,Table1[[#This Row],[Namn]],G:G)</f>
        <v>1</v>
      </c>
      <c r="Q330" s="97">
        <f>SUMIF(B:B,Table1[[#This Row],[Namn]],E:E)</f>
        <v>0</v>
      </c>
      <c r="R330" s="97">
        <f>SUMIF(B:B,Table1[[#This Row],[Namn]],F:F)</f>
        <v>0</v>
      </c>
    </row>
    <row r="331" spans="1:18" x14ac:dyDescent="0.25">
      <c r="A331" s="97">
        <v>2015</v>
      </c>
      <c r="B331" s="98" t="s">
        <v>158</v>
      </c>
      <c r="C331" s="97">
        <v>5</v>
      </c>
      <c r="D331" s="99">
        <f>IFERROR(Table1[[#This Row],[MAT]]/Table1[[#This Row],[LAG MATCH]],"")</f>
        <v>0.21739130434782608</v>
      </c>
      <c r="E331" s="97">
        <v>0</v>
      </c>
      <c r="F331" s="97">
        <v>0</v>
      </c>
      <c r="G331" s="97">
        <v>0</v>
      </c>
      <c r="H331" s="97">
        <v>23</v>
      </c>
      <c r="I331" s="100">
        <f t="shared" si="10"/>
        <v>0</v>
      </c>
      <c r="J331" s="97">
        <f>Table1[[#This Row],[ÅR]]</f>
        <v>2015</v>
      </c>
      <c r="K331" s="97">
        <v>1998</v>
      </c>
      <c r="L331" s="97">
        <f>Table1[[#This Row],[ÅR]]-Table1[[#This Row],[FÖDD]]</f>
        <v>17</v>
      </c>
      <c r="M331" s="97">
        <v>4</v>
      </c>
      <c r="N331" s="97">
        <f>SUMIF(B:B,Table1[[#This Row],[Namn]],C:C)</f>
        <v>6</v>
      </c>
      <c r="O331" s="97">
        <f>COUNTIF(B:B,Table1[[#This Row],[Namn]])</f>
        <v>2</v>
      </c>
      <c r="P331" s="97">
        <f>SUMIF(B:B,Table1[[#This Row],[Namn]],G:G)</f>
        <v>1</v>
      </c>
      <c r="Q331" s="97">
        <f>SUMIF(B:B,Table1[[#This Row],[Namn]],E:E)</f>
        <v>0</v>
      </c>
      <c r="R331" s="97">
        <f>SUMIF(B:B,Table1[[#This Row],[Namn]],F:F)</f>
        <v>0</v>
      </c>
    </row>
    <row r="332" spans="1:18" x14ac:dyDescent="0.25">
      <c r="A332" s="97">
        <v>2015</v>
      </c>
      <c r="B332" s="98" t="s">
        <v>146</v>
      </c>
      <c r="C332" s="97">
        <v>4</v>
      </c>
      <c r="D332" s="99">
        <f>IFERROR(Table1[[#This Row],[MAT]]/Table1[[#This Row],[LAG MATCH]],"")</f>
        <v>0.17391304347826086</v>
      </c>
      <c r="E332" s="97">
        <v>0</v>
      </c>
      <c r="F332" s="97">
        <v>0</v>
      </c>
      <c r="G332" s="97">
        <v>1</v>
      </c>
      <c r="H332" s="97">
        <v>23</v>
      </c>
      <c r="I332" s="100">
        <f t="shared" si="10"/>
        <v>0.25</v>
      </c>
      <c r="J332" s="97">
        <f>Table1[[#This Row],[ÅR]]</f>
        <v>2015</v>
      </c>
      <c r="K332" s="97">
        <v>2001</v>
      </c>
      <c r="L332" s="97">
        <f>Table1[[#This Row],[ÅR]]-Table1[[#This Row],[FÖDD]]</f>
        <v>14</v>
      </c>
      <c r="M332" s="97">
        <v>4</v>
      </c>
      <c r="N332" s="97">
        <f>SUMIF(B:B,Table1[[#This Row],[Namn]],C:C)</f>
        <v>5</v>
      </c>
      <c r="O332" s="97">
        <f>COUNTIF(B:B,Table1[[#This Row],[Namn]])</f>
        <v>2</v>
      </c>
      <c r="P332" s="97">
        <f>SUMIF(B:B,Table1[[#This Row],[Namn]],G:G)</f>
        <v>1</v>
      </c>
      <c r="Q332" s="97">
        <f>SUMIF(B:B,Table1[[#This Row],[Namn]],E:E)</f>
        <v>0</v>
      </c>
      <c r="R332" s="97">
        <f>SUMIF(B:B,Table1[[#This Row],[Namn]],F:F)</f>
        <v>0</v>
      </c>
    </row>
    <row r="333" spans="1:18" x14ac:dyDescent="0.25">
      <c r="A333" s="97">
        <v>2015</v>
      </c>
      <c r="B333" s="98" t="s">
        <v>159</v>
      </c>
      <c r="C333" s="97">
        <v>4</v>
      </c>
      <c r="D333" s="99">
        <f>IFERROR(Table1[[#This Row],[MAT]]/Table1[[#This Row],[LAG MATCH]],"")</f>
        <v>0.17391304347826086</v>
      </c>
      <c r="E333" s="97">
        <v>0</v>
      </c>
      <c r="F333" s="97">
        <v>0</v>
      </c>
      <c r="G333" s="97">
        <v>1</v>
      </c>
      <c r="H333" s="97">
        <v>23</v>
      </c>
      <c r="I333" s="100">
        <f t="shared" si="10"/>
        <v>0.25</v>
      </c>
      <c r="J333" s="97">
        <f>Table1[[#This Row],[ÅR]]</f>
        <v>2015</v>
      </c>
      <c r="K333" s="97">
        <v>2001</v>
      </c>
      <c r="L333" s="97">
        <f>Table1[[#This Row],[ÅR]]-Table1[[#This Row],[FÖDD]]</f>
        <v>14</v>
      </c>
      <c r="M333" s="97">
        <v>4</v>
      </c>
      <c r="N333" s="97">
        <f>SUMIF(B:B,Table1[[#This Row],[Namn]],C:C)</f>
        <v>4</v>
      </c>
      <c r="O333" s="97">
        <f>COUNTIF(B:B,Table1[[#This Row],[Namn]])</f>
        <v>1</v>
      </c>
      <c r="P333" s="97">
        <f>SUMIF(B:B,Table1[[#This Row],[Namn]],G:G)</f>
        <v>1</v>
      </c>
      <c r="Q333" s="97">
        <f>SUMIF(B:B,Table1[[#This Row],[Namn]],E:E)</f>
        <v>0</v>
      </c>
      <c r="R333" s="97">
        <f>SUMIF(B:B,Table1[[#This Row],[Namn]],F:F)</f>
        <v>0</v>
      </c>
    </row>
    <row r="334" spans="1:18" x14ac:dyDescent="0.25">
      <c r="A334" s="97">
        <v>2015</v>
      </c>
      <c r="B334" s="98" t="s">
        <v>94</v>
      </c>
      <c r="C334" s="97">
        <v>4</v>
      </c>
      <c r="D334" s="99">
        <f>IFERROR(Table1[[#This Row],[MAT]]/Table1[[#This Row],[LAG MATCH]],"")</f>
        <v>0.17391304347826086</v>
      </c>
      <c r="E334" s="97">
        <v>0</v>
      </c>
      <c r="F334" s="97">
        <v>0</v>
      </c>
      <c r="G334" s="97">
        <v>0</v>
      </c>
      <c r="H334" s="97">
        <v>23</v>
      </c>
      <c r="I334" s="100">
        <f t="shared" si="10"/>
        <v>0</v>
      </c>
      <c r="J334" s="97">
        <f>Table1[[#This Row],[ÅR]]</f>
        <v>2015</v>
      </c>
      <c r="K334" s="97">
        <v>2001</v>
      </c>
      <c r="L334" s="97">
        <f>Table1[[#This Row],[ÅR]]-Table1[[#This Row],[FÖDD]]</f>
        <v>14</v>
      </c>
      <c r="M334" s="97">
        <v>4</v>
      </c>
      <c r="N334" s="97">
        <f>SUMIF(B:B,Table1[[#This Row],[Namn]],C:C)</f>
        <v>12</v>
      </c>
      <c r="O334" s="97">
        <f>COUNTIF(B:B,Table1[[#This Row],[Namn]])</f>
        <v>3</v>
      </c>
      <c r="P334" s="97">
        <f>SUMIF(B:B,Table1[[#This Row],[Namn]],G:G)</f>
        <v>0</v>
      </c>
      <c r="Q334" s="97">
        <f>SUMIF(B:B,Table1[[#This Row],[Namn]],E:E)</f>
        <v>0</v>
      </c>
      <c r="R334" s="97">
        <f>SUMIF(B:B,Table1[[#This Row],[Namn]],F:F)</f>
        <v>0</v>
      </c>
    </row>
    <row r="335" spans="1:18" x14ac:dyDescent="0.25">
      <c r="A335" s="97">
        <v>2015</v>
      </c>
      <c r="B335" s="98" t="s">
        <v>104</v>
      </c>
      <c r="C335" s="97">
        <v>4</v>
      </c>
      <c r="D335" s="99">
        <f>IFERROR(Table1[[#This Row],[MAT]]/Table1[[#This Row],[LAG MATCH]],"")</f>
        <v>0.17391304347826086</v>
      </c>
      <c r="E335" s="97">
        <v>0</v>
      </c>
      <c r="F335" s="97">
        <v>0</v>
      </c>
      <c r="G335" s="97">
        <v>0</v>
      </c>
      <c r="H335" s="97">
        <v>23</v>
      </c>
      <c r="I335" s="100">
        <f t="shared" si="10"/>
        <v>0</v>
      </c>
      <c r="J335" s="97">
        <f>Table1[[#This Row],[ÅR]]</f>
        <v>2015</v>
      </c>
      <c r="K335" s="97">
        <v>2001</v>
      </c>
      <c r="L335" s="97">
        <f>Table1[[#This Row],[ÅR]]-Table1[[#This Row],[FÖDD]]</f>
        <v>14</v>
      </c>
      <c r="M335" s="97">
        <v>4</v>
      </c>
      <c r="N335" s="97">
        <f>SUMIF(B:B,Table1[[#This Row],[Namn]],C:C)</f>
        <v>8</v>
      </c>
      <c r="O335" s="97">
        <f>COUNTIF(B:B,Table1[[#This Row],[Namn]])</f>
        <v>3</v>
      </c>
      <c r="P335" s="97">
        <f>SUMIF(B:B,Table1[[#This Row],[Namn]],G:G)</f>
        <v>0</v>
      </c>
      <c r="Q335" s="97">
        <f>SUMIF(B:B,Table1[[#This Row],[Namn]],E:E)</f>
        <v>0</v>
      </c>
      <c r="R335" s="97">
        <f>SUMIF(B:B,Table1[[#This Row],[Namn]],F:F)</f>
        <v>0</v>
      </c>
    </row>
    <row r="336" spans="1:18" x14ac:dyDescent="0.25">
      <c r="A336" s="97">
        <v>2015</v>
      </c>
      <c r="B336" s="98" t="s">
        <v>160</v>
      </c>
      <c r="C336" s="97">
        <v>4</v>
      </c>
      <c r="D336" s="99">
        <f>IFERROR(Table1[[#This Row],[MAT]]/Table1[[#This Row],[LAG MATCH]],"")</f>
        <v>0.17391304347826086</v>
      </c>
      <c r="E336" s="97">
        <v>0</v>
      </c>
      <c r="F336" s="97">
        <v>0</v>
      </c>
      <c r="G336" s="97">
        <v>0</v>
      </c>
      <c r="H336" s="97">
        <v>23</v>
      </c>
      <c r="I336" s="100">
        <f t="shared" si="10"/>
        <v>0</v>
      </c>
      <c r="J336" s="97">
        <f>Table1[[#This Row],[ÅR]]</f>
        <v>2015</v>
      </c>
      <c r="K336" s="97">
        <v>2000</v>
      </c>
      <c r="L336" s="97">
        <f>Table1[[#This Row],[ÅR]]-Table1[[#This Row],[FÖDD]]</f>
        <v>15</v>
      </c>
      <c r="M336" s="97">
        <v>4</v>
      </c>
      <c r="N336" s="97">
        <f>SUMIF(B:B,Table1[[#This Row],[Namn]],C:C)</f>
        <v>4</v>
      </c>
      <c r="O336" s="97">
        <f>COUNTIF(B:B,Table1[[#This Row],[Namn]])</f>
        <v>1</v>
      </c>
      <c r="P336" s="97">
        <f>SUMIF(B:B,Table1[[#This Row],[Namn]],G:G)</f>
        <v>0</v>
      </c>
      <c r="Q336" s="97">
        <f>SUMIF(B:B,Table1[[#This Row],[Namn]],E:E)</f>
        <v>0</v>
      </c>
      <c r="R336" s="97">
        <f>SUMIF(B:B,Table1[[#This Row],[Namn]],F:F)</f>
        <v>0</v>
      </c>
    </row>
    <row r="337" spans="1:18" x14ac:dyDescent="0.25">
      <c r="A337" s="97">
        <v>2015</v>
      </c>
      <c r="B337" s="98" t="s">
        <v>161</v>
      </c>
      <c r="C337" s="97">
        <v>4</v>
      </c>
      <c r="D337" s="99">
        <f>IFERROR(Table1[[#This Row],[MAT]]/Table1[[#This Row],[LAG MATCH]],"")</f>
        <v>0.17391304347826086</v>
      </c>
      <c r="E337" s="97">
        <v>0</v>
      </c>
      <c r="F337" s="97">
        <v>0</v>
      </c>
      <c r="G337" s="97">
        <v>0</v>
      </c>
      <c r="H337" s="97">
        <v>23</v>
      </c>
      <c r="I337" s="100">
        <f t="shared" si="10"/>
        <v>0</v>
      </c>
      <c r="J337" s="97">
        <f>Table1[[#This Row],[ÅR]]</f>
        <v>2015</v>
      </c>
      <c r="K337" s="97">
        <v>1998</v>
      </c>
      <c r="L337" s="97">
        <f>Table1[[#This Row],[ÅR]]-Table1[[#This Row],[FÖDD]]</f>
        <v>17</v>
      </c>
      <c r="M337" s="97">
        <v>4</v>
      </c>
      <c r="N337" s="97">
        <f>SUMIF(B:B,Table1[[#This Row],[Namn]],C:C)</f>
        <v>19</v>
      </c>
      <c r="O337" s="97">
        <f>COUNTIF(B:B,Table1[[#This Row],[Namn]])</f>
        <v>3</v>
      </c>
      <c r="P337" s="97">
        <f>SUMIF(B:B,Table1[[#This Row],[Namn]],G:G)</f>
        <v>0</v>
      </c>
      <c r="Q337" s="97">
        <f>SUMIF(B:B,Table1[[#This Row],[Namn]],E:E)</f>
        <v>0</v>
      </c>
      <c r="R337" s="97">
        <f>SUMIF(B:B,Table1[[#This Row],[Namn]],F:F)</f>
        <v>0</v>
      </c>
    </row>
    <row r="338" spans="1:18" x14ac:dyDescent="0.25">
      <c r="A338" s="97">
        <v>2015</v>
      </c>
      <c r="B338" s="98" t="s">
        <v>162</v>
      </c>
      <c r="C338" s="97">
        <v>4</v>
      </c>
      <c r="D338" s="99">
        <f>IFERROR(Table1[[#This Row],[MAT]]/Table1[[#This Row],[LAG MATCH]],"")</f>
        <v>0.17391304347826086</v>
      </c>
      <c r="E338" s="97">
        <v>0</v>
      </c>
      <c r="F338" s="97">
        <v>0</v>
      </c>
      <c r="G338" s="97">
        <v>0</v>
      </c>
      <c r="H338" s="97">
        <v>23</v>
      </c>
      <c r="I338" s="100">
        <f t="shared" si="10"/>
        <v>0</v>
      </c>
      <c r="J338" s="97">
        <f>Table1[[#This Row],[ÅR]]</f>
        <v>2015</v>
      </c>
      <c r="K338" s="97">
        <v>1995</v>
      </c>
      <c r="L338" s="97">
        <f>Table1[[#This Row],[ÅR]]-Table1[[#This Row],[FÖDD]]</f>
        <v>20</v>
      </c>
      <c r="M338" s="97">
        <v>4</v>
      </c>
      <c r="N338" s="97">
        <f>SUMIF(B:B,Table1[[#This Row],[Namn]],C:C)</f>
        <v>28</v>
      </c>
      <c r="O338" s="97">
        <f>COUNTIF(B:B,Table1[[#This Row],[Namn]])</f>
        <v>3</v>
      </c>
      <c r="P338" s="97">
        <f>SUMIF(B:B,Table1[[#This Row],[Namn]],G:G)</f>
        <v>3</v>
      </c>
      <c r="Q338" s="97">
        <f>SUMIF(B:B,Table1[[#This Row],[Namn]],E:E)</f>
        <v>0</v>
      </c>
      <c r="R338" s="97">
        <f>SUMIF(B:B,Table1[[#This Row],[Namn]],F:F)</f>
        <v>0</v>
      </c>
    </row>
    <row r="339" spans="1:18" x14ac:dyDescent="0.25">
      <c r="A339" s="97">
        <v>2015</v>
      </c>
      <c r="B339" s="98" t="s">
        <v>163</v>
      </c>
      <c r="C339" s="97">
        <v>3</v>
      </c>
      <c r="D339" s="99">
        <f>IFERROR(Table1[[#This Row],[MAT]]/Table1[[#This Row],[LAG MATCH]],"")</f>
        <v>0.13043478260869565</v>
      </c>
      <c r="E339" s="97">
        <v>0</v>
      </c>
      <c r="F339" s="97">
        <v>0</v>
      </c>
      <c r="G339" s="97">
        <v>0</v>
      </c>
      <c r="H339" s="97">
        <v>23</v>
      </c>
      <c r="I339" s="100">
        <f t="shared" si="10"/>
        <v>0</v>
      </c>
      <c r="J339" s="97">
        <f>Table1[[#This Row],[ÅR]]</f>
        <v>2015</v>
      </c>
      <c r="K339" s="97">
        <v>2000</v>
      </c>
      <c r="L339" s="97">
        <f>Table1[[#This Row],[ÅR]]-Table1[[#This Row],[FÖDD]]</f>
        <v>15</v>
      </c>
      <c r="M339" s="97">
        <v>4</v>
      </c>
      <c r="N339" s="97">
        <f>SUMIF(B:B,Table1[[#This Row],[Namn]],C:C)</f>
        <v>3</v>
      </c>
      <c r="O339" s="97">
        <f>COUNTIF(B:B,Table1[[#This Row],[Namn]])</f>
        <v>1</v>
      </c>
      <c r="P339" s="97">
        <f>SUMIF(B:B,Table1[[#This Row],[Namn]],G:G)</f>
        <v>0</v>
      </c>
      <c r="Q339" s="97">
        <f>SUMIF(B:B,Table1[[#This Row],[Namn]],E:E)</f>
        <v>0</v>
      </c>
      <c r="R339" s="97">
        <f>SUMIF(B:B,Table1[[#This Row],[Namn]],F:F)</f>
        <v>0</v>
      </c>
    </row>
    <row r="340" spans="1:18" x14ac:dyDescent="0.25">
      <c r="A340" s="97">
        <v>2015</v>
      </c>
      <c r="B340" s="98" t="s">
        <v>164</v>
      </c>
      <c r="C340" s="97">
        <v>3</v>
      </c>
      <c r="D340" s="99">
        <f>IFERROR(Table1[[#This Row],[MAT]]/Table1[[#This Row],[LAG MATCH]],"")</f>
        <v>0.13043478260869565</v>
      </c>
      <c r="E340" s="97">
        <v>0</v>
      </c>
      <c r="F340" s="97">
        <v>0</v>
      </c>
      <c r="G340" s="97">
        <v>0</v>
      </c>
      <c r="H340" s="97">
        <v>23</v>
      </c>
      <c r="I340" s="100">
        <f t="shared" ref="I340:I403" si="11">IFERROR(G340/C340,"")</f>
        <v>0</v>
      </c>
      <c r="J340" s="97">
        <f>Table1[[#This Row],[ÅR]]</f>
        <v>2015</v>
      </c>
      <c r="K340" s="97">
        <v>1998</v>
      </c>
      <c r="L340" s="97">
        <f>Table1[[#This Row],[ÅR]]-Table1[[#This Row],[FÖDD]]</f>
        <v>17</v>
      </c>
      <c r="M340" s="97">
        <v>4</v>
      </c>
      <c r="N340" s="97">
        <f>SUMIF(B:B,Table1[[#This Row],[Namn]],C:C)</f>
        <v>11</v>
      </c>
      <c r="O340" s="97">
        <f>COUNTIF(B:B,Table1[[#This Row],[Namn]])</f>
        <v>3</v>
      </c>
      <c r="P340" s="97">
        <f>SUMIF(B:B,Table1[[#This Row],[Namn]],G:G)</f>
        <v>0</v>
      </c>
      <c r="Q340" s="97">
        <f>SUMIF(B:B,Table1[[#This Row],[Namn]],E:E)</f>
        <v>0</v>
      </c>
      <c r="R340" s="97">
        <f>SUMIF(B:B,Table1[[#This Row],[Namn]],F:F)</f>
        <v>0</v>
      </c>
    </row>
    <row r="341" spans="1:18" x14ac:dyDescent="0.25">
      <c r="A341" s="97">
        <v>2015</v>
      </c>
      <c r="B341" s="98" t="s">
        <v>165</v>
      </c>
      <c r="C341" s="97">
        <v>2</v>
      </c>
      <c r="D341" s="99">
        <f>IFERROR(Table1[[#This Row],[MAT]]/Table1[[#This Row],[LAG MATCH]],"")</f>
        <v>8.6956521739130432E-2</v>
      </c>
      <c r="E341" s="97">
        <v>0</v>
      </c>
      <c r="F341" s="97">
        <v>0</v>
      </c>
      <c r="G341" s="97">
        <v>1</v>
      </c>
      <c r="H341" s="97">
        <v>23</v>
      </c>
      <c r="I341" s="100">
        <f t="shared" si="11"/>
        <v>0.5</v>
      </c>
      <c r="J341" s="97">
        <f>Table1[[#This Row],[ÅR]]</f>
        <v>2015</v>
      </c>
      <c r="K341" s="97">
        <v>2001</v>
      </c>
      <c r="L341" s="97">
        <f>Table1[[#This Row],[ÅR]]-Table1[[#This Row],[FÖDD]]</f>
        <v>14</v>
      </c>
      <c r="M341" s="97">
        <v>4</v>
      </c>
      <c r="N341" s="97">
        <f>SUMIF(B:B,Table1[[#This Row],[Namn]],C:C)</f>
        <v>2</v>
      </c>
      <c r="O341" s="97">
        <f>COUNTIF(B:B,Table1[[#This Row],[Namn]])</f>
        <v>1</v>
      </c>
      <c r="P341" s="97">
        <f>SUMIF(B:B,Table1[[#This Row],[Namn]],G:G)</f>
        <v>1</v>
      </c>
      <c r="Q341" s="97">
        <f>SUMIF(B:B,Table1[[#This Row],[Namn]],E:E)</f>
        <v>0</v>
      </c>
      <c r="R341" s="97">
        <f>SUMIF(B:B,Table1[[#This Row],[Namn]],F:F)</f>
        <v>0</v>
      </c>
    </row>
    <row r="342" spans="1:18" x14ac:dyDescent="0.25">
      <c r="A342" s="97">
        <v>2015</v>
      </c>
      <c r="B342" s="98" t="s">
        <v>166</v>
      </c>
      <c r="C342" s="97">
        <v>2</v>
      </c>
      <c r="D342" s="99">
        <f>IFERROR(Table1[[#This Row],[MAT]]/Table1[[#This Row],[LAG MATCH]],"")</f>
        <v>8.6956521739130432E-2</v>
      </c>
      <c r="E342" s="97">
        <v>0</v>
      </c>
      <c r="F342" s="97">
        <v>0</v>
      </c>
      <c r="G342" s="97">
        <v>0</v>
      </c>
      <c r="H342" s="97">
        <v>23</v>
      </c>
      <c r="I342" s="100">
        <f t="shared" si="11"/>
        <v>0</v>
      </c>
      <c r="J342" s="97">
        <f>Table1[[#This Row],[ÅR]]</f>
        <v>2015</v>
      </c>
      <c r="K342" s="97">
        <v>2000</v>
      </c>
      <c r="L342" s="97">
        <f>Table1[[#This Row],[ÅR]]-Table1[[#This Row],[FÖDD]]</f>
        <v>15</v>
      </c>
      <c r="M342" s="97">
        <v>4</v>
      </c>
      <c r="N342" s="97">
        <f>SUMIF(B:B,Table1[[#This Row],[Namn]],C:C)</f>
        <v>2</v>
      </c>
      <c r="O342" s="97">
        <f>COUNTIF(B:B,Table1[[#This Row],[Namn]])</f>
        <v>1</v>
      </c>
      <c r="P342" s="97">
        <f>SUMIF(B:B,Table1[[#This Row],[Namn]],G:G)</f>
        <v>0</v>
      </c>
      <c r="Q342" s="97">
        <f>SUMIF(B:B,Table1[[#This Row],[Namn]],E:E)</f>
        <v>0</v>
      </c>
      <c r="R342" s="97">
        <f>SUMIF(B:B,Table1[[#This Row],[Namn]],F:F)</f>
        <v>0</v>
      </c>
    </row>
    <row r="343" spans="1:18" x14ac:dyDescent="0.25">
      <c r="A343" s="97">
        <v>2015</v>
      </c>
      <c r="B343" s="98" t="s">
        <v>96</v>
      </c>
      <c r="C343" s="97">
        <v>1</v>
      </c>
      <c r="D343" s="99">
        <f>IFERROR(Table1[[#This Row],[MAT]]/Table1[[#This Row],[LAG MATCH]],"")</f>
        <v>4.3478260869565216E-2</v>
      </c>
      <c r="E343" s="97">
        <v>0</v>
      </c>
      <c r="F343" s="97">
        <v>0</v>
      </c>
      <c r="G343" s="97">
        <v>0</v>
      </c>
      <c r="H343" s="97">
        <v>23</v>
      </c>
      <c r="I343" s="100">
        <f t="shared" si="11"/>
        <v>0</v>
      </c>
      <c r="J343" s="97">
        <f>Table1[[#This Row],[ÅR]]</f>
        <v>2015</v>
      </c>
      <c r="K343" s="97">
        <v>2001</v>
      </c>
      <c r="L343" s="97">
        <f>Table1[[#This Row],[ÅR]]-Table1[[#This Row],[FÖDD]]</f>
        <v>14</v>
      </c>
      <c r="M343" s="97">
        <v>4</v>
      </c>
      <c r="N343" s="97">
        <f>SUMIF(B:B,Table1[[#This Row],[Namn]],C:C)</f>
        <v>5</v>
      </c>
      <c r="O343" s="97">
        <f>COUNTIF(B:B,Table1[[#This Row],[Namn]])</f>
        <v>3</v>
      </c>
      <c r="P343" s="97">
        <f>SUMIF(B:B,Table1[[#This Row],[Namn]],G:G)</f>
        <v>0</v>
      </c>
      <c r="Q343" s="97">
        <f>SUMIF(B:B,Table1[[#This Row],[Namn]],E:E)</f>
        <v>0</v>
      </c>
      <c r="R343" s="97">
        <f>SUMIF(B:B,Table1[[#This Row],[Namn]],F:F)</f>
        <v>0</v>
      </c>
    </row>
    <row r="344" spans="1:18" x14ac:dyDescent="0.25">
      <c r="A344" s="97">
        <v>2014</v>
      </c>
      <c r="B344" s="98" t="s">
        <v>133</v>
      </c>
      <c r="C344" s="97">
        <v>16</v>
      </c>
      <c r="D344" s="99">
        <f>IFERROR(Table1[[#This Row],[MAT]]/Table1[[#This Row],[LAG MATCH]],"")</f>
        <v>1</v>
      </c>
      <c r="E344" s="97">
        <v>0</v>
      </c>
      <c r="F344" s="97">
        <v>0</v>
      </c>
      <c r="G344" s="97">
        <v>32</v>
      </c>
      <c r="H344" s="97">
        <v>16</v>
      </c>
      <c r="I344" s="100">
        <f t="shared" si="11"/>
        <v>2</v>
      </c>
      <c r="J344" s="97">
        <f>Table1[[#This Row],[ÅR]]</f>
        <v>2014</v>
      </c>
      <c r="K344" s="97">
        <v>1996</v>
      </c>
      <c r="L344" s="97">
        <f>Table1[[#This Row],[ÅR]]-Table1[[#This Row],[FÖDD]]</f>
        <v>18</v>
      </c>
      <c r="M344" s="97">
        <v>4</v>
      </c>
      <c r="N344" s="97">
        <f>SUMIF(B:B,Table1[[#This Row],[Namn]],C:C)</f>
        <v>83</v>
      </c>
      <c r="O344" s="97">
        <f>COUNTIF(B:B,Table1[[#This Row],[Namn]])</f>
        <v>5</v>
      </c>
      <c r="P344" s="97">
        <f>SUMIF(B:B,Table1[[#This Row],[Namn]],G:G)</f>
        <v>119</v>
      </c>
      <c r="Q344" s="97">
        <f>SUMIF(B:B,Table1[[#This Row],[Namn]],E:E)</f>
        <v>0</v>
      </c>
      <c r="R344" s="97">
        <f>SUMIF(B:B,Table1[[#This Row],[Namn]],F:F)</f>
        <v>0</v>
      </c>
    </row>
    <row r="345" spans="1:18" x14ac:dyDescent="0.25">
      <c r="A345" s="97">
        <v>2014</v>
      </c>
      <c r="B345" s="98" t="s">
        <v>167</v>
      </c>
      <c r="C345" s="97">
        <v>15</v>
      </c>
      <c r="D345" s="99">
        <f>IFERROR(Table1[[#This Row],[MAT]]/Table1[[#This Row],[LAG MATCH]],"")</f>
        <v>0.9375</v>
      </c>
      <c r="E345" s="97">
        <v>1</v>
      </c>
      <c r="F345" s="97">
        <v>0</v>
      </c>
      <c r="G345" s="97">
        <v>1</v>
      </c>
      <c r="H345" s="97">
        <v>16</v>
      </c>
      <c r="I345" s="100">
        <f t="shared" si="11"/>
        <v>6.6666666666666666E-2</v>
      </c>
      <c r="J345" s="97">
        <f>Table1[[#This Row],[ÅR]]</f>
        <v>2014</v>
      </c>
      <c r="K345" s="97">
        <v>1996</v>
      </c>
      <c r="L345" s="97">
        <f>Table1[[#This Row],[ÅR]]-Table1[[#This Row],[FÖDD]]</f>
        <v>18</v>
      </c>
      <c r="M345" s="97">
        <v>4</v>
      </c>
      <c r="N345" s="97">
        <f>SUMIF(B:B,Table1[[#This Row],[Namn]],C:C)</f>
        <v>45</v>
      </c>
      <c r="O345" s="97">
        <f>COUNTIF(B:B,Table1[[#This Row],[Namn]])</f>
        <v>3</v>
      </c>
      <c r="P345" s="97">
        <f>SUMIF(B:B,Table1[[#This Row],[Namn]],G:G)</f>
        <v>2</v>
      </c>
      <c r="Q345" s="97">
        <f>SUMIF(B:B,Table1[[#This Row],[Namn]],E:E)</f>
        <v>2</v>
      </c>
      <c r="R345" s="97">
        <f>SUMIF(B:B,Table1[[#This Row],[Namn]],F:F)</f>
        <v>0</v>
      </c>
    </row>
    <row r="346" spans="1:18" x14ac:dyDescent="0.25">
      <c r="A346" s="97">
        <v>2014</v>
      </c>
      <c r="B346" s="98" t="s">
        <v>168</v>
      </c>
      <c r="C346" s="97">
        <v>15</v>
      </c>
      <c r="D346" s="99">
        <f>IFERROR(Table1[[#This Row],[MAT]]/Table1[[#This Row],[LAG MATCH]],"")</f>
        <v>0.9375</v>
      </c>
      <c r="E346" s="97">
        <v>1</v>
      </c>
      <c r="F346" s="97">
        <v>0</v>
      </c>
      <c r="G346" s="97">
        <v>0</v>
      </c>
      <c r="H346" s="97">
        <v>16</v>
      </c>
      <c r="I346" s="100">
        <f t="shared" si="11"/>
        <v>0</v>
      </c>
      <c r="J346" s="97">
        <f>Table1[[#This Row],[ÅR]]</f>
        <v>2014</v>
      </c>
      <c r="K346" s="97">
        <v>1969</v>
      </c>
      <c r="L346" s="97">
        <f>Table1[[#This Row],[ÅR]]-Table1[[#This Row],[FÖDD]]</f>
        <v>45</v>
      </c>
      <c r="M346" s="97">
        <v>4</v>
      </c>
      <c r="N346" s="97">
        <f>SUMIF(B:B,Table1[[#This Row],[Namn]],C:C)</f>
        <v>49</v>
      </c>
      <c r="O346" s="97">
        <f>COUNTIF(B:B,Table1[[#This Row],[Namn]])</f>
        <v>4</v>
      </c>
      <c r="P346" s="97">
        <f>SUMIF(B:B,Table1[[#This Row],[Namn]],G:G)</f>
        <v>0</v>
      </c>
      <c r="Q346" s="97">
        <f>SUMIF(B:B,Table1[[#This Row],[Namn]],E:E)</f>
        <v>2</v>
      </c>
      <c r="R346" s="97">
        <f>SUMIF(B:B,Table1[[#This Row],[Namn]],F:F)</f>
        <v>0</v>
      </c>
    </row>
    <row r="347" spans="1:18" x14ac:dyDescent="0.25">
      <c r="A347" s="97">
        <v>2014</v>
      </c>
      <c r="B347" s="98" t="s">
        <v>74</v>
      </c>
      <c r="C347" s="97">
        <v>15</v>
      </c>
      <c r="D347" s="99">
        <f>IFERROR(Table1[[#This Row],[MAT]]/Table1[[#This Row],[LAG MATCH]],"")</f>
        <v>0.9375</v>
      </c>
      <c r="E347" s="97">
        <v>0</v>
      </c>
      <c r="F347" s="97">
        <v>0</v>
      </c>
      <c r="G347" s="97">
        <v>0</v>
      </c>
      <c r="H347" s="97">
        <v>16</v>
      </c>
      <c r="I347" s="100">
        <f t="shared" si="11"/>
        <v>0</v>
      </c>
      <c r="J347" s="97">
        <f>Table1[[#This Row],[ÅR]]</f>
        <v>2014</v>
      </c>
      <c r="K347" s="97">
        <v>1996</v>
      </c>
      <c r="L347" s="97">
        <f>Table1[[#This Row],[ÅR]]-Table1[[#This Row],[FÖDD]]</f>
        <v>18</v>
      </c>
      <c r="M347" s="97">
        <v>4</v>
      </c>
      <c r="N347" s="97">
        <f>SUMIF(B:B,Table1[[#This Row],[Namn]],C:C)</f>
        <v>200</v>
      </c>
      <c r="O347" s="97">
        <f>COUNTIF(B:B,Table1[[#This Row],[Namn]])</f>
        <v>12</v>
      </c>
      <c r="P347" s="97">
        <f>SUMIF(B:B,Table1[[#This Row],[Namn]],G:G)</f>
        <v>9</v>
      </c>
      <c r="Q347" s="97">
        <f>SUMIF(B:B,Table1[[#This Row],[Namn]],E:E)</f>
        <v>1</v>
      </c>
      <c r="R347" s="97">
        <f>SUMIF(B:B,Table1[[#This Row],[Namn]],F:F)</f>
        <v>0</v>
      </c>
    </row>
    <row r="348" spans="1:18" x14ac:dyDescent="0.25">
      <c r="A348" s="97">
        <v>2014</v>
      </c>
      <c r="B348" s="98" t="s">
        <v>136</v>
      </c>
      <c r="C348" s="97">
        <v>15</v>
      </c>
      <c r="D348" s="99">
        <f>IFERROR(Table1[[#This Row],[MAT]]/Table1[[#This Row],[LAG MATCH]],"")</f>
        <v>0.9375</v>
      </c>
      <c r="E348" s="97">
        <v>0</v>
      </c>
      <c r="F348" s="97">
        <v>0</v>
      </c>
      <c r="G348" s="97">
        <v>0</v>
      </c>
      <c r="H348" s="97">
        <v>16</v>
      </c>
      <c r="I348" s="100">
        <f t="shared" si="11"/>
        <v>0</v>
      </c>
      <c r="J348" s="97">
        <f>Table1[[#This Row],[ÅR]]</f>
        <v>2014</v>
      </c>
      <c r="K348" s="97">
        <v>1996</v>
      </c>
      <c r="L348" s="97">
        <f>Table1[[#This Row],[ÅR]]-Table1[[#This Row],[FÖDD]]</f>
        <v>18</v>
      </c>
      <c r="M348" s="97">
        <v>4</v>
      </c>
      <c r="N348" s="97">
        <f>SUMIF(B:B,Table1[[#This Row],[Namn]],C:C)</f>
        <v>69</v>
      </c>
      <c r="O348" s="97">
        <f>COUNTIF(B:B,Table1[[#This Row],[Namn]])</f>
        <v>5</v>
      </c>
      <c r="P348" s="97">
        <f>SUMIF(B:B,Table1[[#This Row],[Namn]],G:G)</f>
        <v>1</v>
      </c>
      <c r="Q348" s="97">
        <f>SUMIF(B:B,Table1[[#This Row],[Namn]],E:E)</f>
        <v>0</v>
      </c>
      <c r="R348" s="97">
        <f>SUMIF(B:B,Table1[[#This Row],[Namn]],F:F)</f>
        <v>0</v>
      </c>
    </row>
    <row r="349" spans="1:18" x14ac:dyDescent="0.25">
      <c r="A349" s="97">
        <v>2014</v>
      </c>
      <c r="B349" s="98" t="s">
        <v>153</v>
      </c>
      <c r="C349" s="97">
        <v>14</v>
      </c>
      <c r="D349" s="99">
        <f>IFERROR(Table1[[#This Row],[MAT]]/Table1[[#This Row],[LAG MATCH]],"")</f>
        <v>0.875</v>
      </c>
      <c r="E349" s="97">
        <v>1</v>
      </c>
      <c r="F349" s="97">
        <v>0</v>
      </c>
      <c r="G349" s="97">
        <v>5</v>
      </c>
      <c r="H349" s="97">
        <v>16</v>
      </c>
      <c r="I349" s="100">
        <f t="shared" si="11"/>
        <v>0.35714285714285715</v>
      </c>
      <c r="J349" s="97">
        <f>Table1[[#This Row],[ÅR]]</f>
        <v>2014</v>
      </c>
      <c r="K349" s="97">
        <v>1992</v>
      </c>
      <c r="L349" s="97">
        <f>Table1[[#This Row],[ÅR]]-Table1[[#This Row],[FÖDD]]</f>
        <v>22</v>
      </c>
      <c r="M349" s="97">
        <v>4</v>
      </c>
      <c r="N349" s="97">
        <f>SUMIF(B:B,Table1[[#This Row],[Namn]],C:C)</f>
        <v>39</v>
      </c>
      <c r="O349" s="97">
        <f>COUNTIF(B:B,Table1[[#This Row],[Namn]])</f>
        <v>5</v>
      </c>
      <c r="P349" s="97">
        <f>SUMIF(B:B,Table1[[#This Row],[Namn]],G:G)</f>
        <v>11</v>
      </c>
      <c r="Q349" s="97">
        <f>SUMIF(B:B,Table1[[#This Row],[Namn]],E:E)</f>
        <v>3</v>
      </c>
      <c r="R349" s="97">
        <f>SUMIF(B:B,Table1[[#This Row],[Namn]],F:F)</f>
        <v>0</v>
      </c>
    </row>
    <row r="350" spans="1:18" x14ac:dyDescent="0.25">
      <c r="A350" s="97">
        <v>2014</v>
      </c>
      <c r="B350" s="98" t="s">
        <v>84</v>
      </c>
      <c r="C350" s="97">
        <v>14</v>
      </c>
      <c r="D350" s="99">
        <f>IFERROR(Table1[[#This Row],[MAT]]/Table1[[#This Row],[LAG MATCH]],"")</f>
        <v>0.875</v>
      </c>
      <c r="E350" s="97">
        <v>1</v>
      </c>
      <c r="F350" s="97">
        <v>0</v>
      </c>
      <c r="G350" s="97">
        <v>0</v>
      </c>
      <c r="H350" s="97">
        <v>16</v>
      </c>
      <c r="I350" s="100">
        <f t="shared" si="11"/>
        <v>0</v>
      </c>
      <c r="J350" s="97">
        <f>Table1[[#This Row],[ÅR]]</f>
        <v>2014</v>
      </c>
      <c r="K350" s="97">
        <v>1997</v>
      </c>
      <c r="L350" s="97">
        <f>Table1[[#This Row],[ÅR]]-Table1[[#This Row],[FÖDD]]</f>
        <v>17</v>
      </c>
      <c r="M350" s="97">
        <v>4</v>
      </c>
      <c r="N350" s="97">
        <f>SUMIF(B:B,Table1[[#This Row],[Namn]],C:C)</f>
        <v>74</v>
      </c>
      <c r="O350" s="97">
        <f>COUNTIF(B:B,Table1[[#This Row],[Namn]])</f>
        <v>5</v>
      </c>
      <c r="P350" s="97">
        <f>SUMIF(B:B,Table1[[#This Row],[Namn]],G:G)</f>
        <v>1</v>
      </c>
      <c r="Q350" s="97">
        <f>SUMIF(B:B,Table1[[#This Row],[Namn]],E:E)</f>
        <v>1</v>
      </c>
      <c r="R350" s="97">
        <f>SUMIF(B:B,Table1[[#This Row],[Namn]],F:F)</f>
        <v>0</v>
      </c>
    </row>
    <row r="351" spans="1:18" x14ac:dyDescent="0.25">
      <c r="A351" s="97">
        <v>2014</v>
      </c>
      <c r="B351" s="98" t="s">
        <v>169</v>
      </c>
      <c r="C351" s="97">
        <v>13</v>
      </c>
      <c r="D351" s="99">
        <f>IFERROR(Table1[[#This Row],[MAT]]/Table1[[#This Row],[LAG MATCH]],"")</f>
        <v>0.8125</v>
      </c>
      <c r="E351" s="97">
        <v>0</v>
      </c>
      <c r="F351" s="97">
        <v>0</v>
      </c>
      <c r="G351" s="97">
        <v>6</v>
      </c>
      <c r="H351" s="97">
        <v>16</v>
      </c>
      <c r="I351" s="100">
        <f t="shared" si="11"/>
        <v>0.46153846153846156</v>
      </c>
      <c r="J351" s="97">
        <f>Table1[[#This Row],[ÅR]]</f>
        <v>2014</v>
      </c>
      <c r="K351" s="97">
        <v>1996</v>
      </c>
      <c r="L351" s="97">
        <f>Table1[[#This Row],[ÅR]]-Table1[[#This Row],[FÖDD]]</f>
        <v>18</v>
      </c>
      <c r="M351" s="97">
        <v>4</v>
      </c>
      <c r="N351" s="97">
        <f>SUMIF(B:B,Table1[[#This Row],[Namn]],C:C)</f>
        <v>28</v>
      </c>
      <c r="O351" s="97">
        <f>COUNTIF(B:B,Table1[[#This Row],[Namn]])</f>
        <v>3</v>
      </c>
      <c r="P351" s="97">
        <f>SUMIF(B:B,Table1[[#This Row],[Namn]],G:G)</f>
        <v>9</v>
      </c>
      <c r="Q351" s="97">
        <f>SUMIF(B:B,Table1[[#This Row],[Namn]],E:E)</f>
        <v>0</v>
      </c>
      <c r="R351" s="97">
        <f>SUMIF(B:B,Table1[[#This Row],[Namn]],F:F)</f>
        <v>0</v>
      </c>
    </row>
    <row r="352" spans="1:18" x14ac:dyDescent="0.25">
      <c r="A352" s="97">
        <v>2014</v>
      </c>
      <c r="B352" s="98" t="s">
        <v>135</v>
      </c>
      <c r="C352" s="97">
        <v>13</v>
      </c>
      <c r="D352" s="99">
        <f>IFERROR(Table1[[#This Row],[MAT]]/Table1[[#This Row],[LAG MATCH]],"")</f>
        <v>0.8125</v>
      </c>
      <c r="E352" s="97">
        <v>0</v>
      </c>
      <c r="F352" s="97">
        <v>0</v>
      </c>
      <c r="G352" s="97">
        <v>3</v>
      </c>
      <c r="H352" s="97">
        <v>16</v>
      </c>
      <c r="I352" s="100">
        <f t="shared" si="11"/>
        <v>0.23076923076923078</v>
      </c>
      <c r="J352" s="97">
        <f>Table1[[#This Row],[ÅR]]</f>
        <v>2014</v>
      </c>
      <c r="K352" s="97">
        <v>1996</v>
      </c>
      <c r="L352" s="97">
        <f>Table1[[#This Row],[ÅR]]-Table1[[#This Row],[FÖDD]]</f>
        <v>18</v>
      </c>
      <c r="M352" s="97">
        <v>4</v>
      </c>
      <c r="N352" s="97">
        <f>SUMIF(B:B,Table1[[#This Row],[Namn]],C:C)</f>
        <v>60</v>
      </c>
      <c r="O352" s="97">
        <f>COUNTIF(B:B,Table1[[#This Row],[Namn]])</f>
        <v>7</v>
      </c>
      <c r="P352" s="97">
        <f>SUMIF(B:B,Table1[[#This Row],[Namn]],G:G)</f>
        <v>6</v>
      </c>
      <c r="Q352" s="97">
        <f>SUMIF(B:B,Table1[[#This Row],[Namn]],E:E)</f>
        <v>3</v>
      </c>
      <c r="R352" s="97">
        <f>SUMIF(B:B,Table1[[#This Row],[Namn]],F:F)</f>
        <v>0</v>
      </c>
    </row>
    <row r="353" spans="1:18" x14ac:dyDescent="0.25">
      <c r="A353" s="97">
        <v>2014</v>
      </c>
      <c r="B353" s="98" t="s">
        <v>162</v>
      </c>
      <c r="C353" s="97">
        <v>13</v>
      </c>
      <c r="D353" s="99">
        <f>IFERROR(Table1[[#This Row],[MAT]]/Table1[[#This Row],[LAG MATCH]],"")</f>
        <v>0.8125</v>
      </c>
      <c r="E353" s="97">
        <v>0</v>
      </c>
      <c r="F353" s="97">
        <v>0</v>
      </c>
      <c r="G353" s="97">
        <v>1</v>
      </c>
      <c r="H353" s="97">
        <v>16</v>
      </c>
      <c r="I353" s="100">
        <f t="shared" si="11"/>
        <v>7.6923076923076927E-2</v>
      </c>
      <c r="J353" s="97">
        <f>Table1[[#This Row],[ÅR]]</f>
        <v>2014</v>
      </c>
      <c r="K353" s="97">
        <v>1995</v>
      </c>
      <c r="L353" s="97">
        <f>Table1[[#This Row],[ÅR]]-Table1[[#This Row],[FÖDD]]</f>
        <v>19</v>
      </c>
      <c r="M353" s="97">
        <v>4</v>
      </c>
      <c r="N353" s="97">
        <f>SUMIF(B:B,Table1[[#This Row],[Namn]],C:C)</f>
        <v>28</v>
      </c>
      <c r="O353" s="97">
        <f>COUNTIF(B:B,Table1[[#This Row],[Namn]])</f>
        <v>3</v>
      </c>
      <c r="P353" s="97">
        <f>SUMIF(B:B,Table1[[#This Row],[Namn]],G:G)</f>
        <v>3</v>
      </c>
      <c r="Q353" s="97">
        <f>SUMIF(B:B,Table1[[#This Row],[Namn]],E:E)</f>
        <v>0</v>
      </c>
      <c r="R353" s="97">
        <f>SUMIF(B:B,Table1[[#This Row],[Namn]],F:F)</f>
        <v>0</v>
      </c>
    </row>
    <row r="354" spans="1:18" x14ac:dyDescent="0.25">
      <c r="A354" s="97">
        <v>2014</v>
      </c>
      <c r="B354" s="98" t="s">
        <v>137</v>
      </c>
      <c r="C354" s="97">
        <v>11</v>
      </c>
      <c r="D354" s="99">
        <f>IFERROR(Table1[[#This Row],[MAT]]/Table1[[#This Row],[LAG MATCH]],"")</f>
        <v>0.6875</v>
      </c>
      <c r="E354" s="97">
        <v>0</v>
      </c>
      <c r="F354" s="97">
        <v>0</v>
      </c>
      <c r="G354" s="97">
        <v>1</v>
      </c>
      <c r="H354" s="97">
        <v>16</v>
      </c>
      <c r="I354" s="100">
        <f t="shared" si="11"/>
        <v>9.0909090909090912E-2</v>
      </c>
      <c r="J354" s="97">
        <f>Table1[[#This Row],[ÅR]]</f>
        <v>2014</v>
      </c>
      <c r="K354" s="97">
        <v>1996</v>
      </c>
      <c r="L354" s="97">
        <f>Table1[[#This Row],[ÅR]]-Table1[[#This Row],[FÖDD]]</f>
        <v>18</v>
      </c>
      <c r="M354" s="97">
        <v>4</v>
      </c>
      <c r="N354" s="97">
        <f>SUMIF(B:B,Table1[[#This Row],[Namn]],C:C)</f>
        <v>44</v>
      </c>
      <c r="O354" s="97">
        <f>COUNTIF(B:B,Table1[[#This Row],[Namn]])</f>
        <v>5</v>
      </c>
      <c r="P354" s="97">
        <f>SUMIF(B:B,Table1[[#This Row],[Namn]],G:G)</f>
        <v>4</v>
      </c>
      <c r="Q354" s="97">
        <f>SUMIF(B:B,Table1[[#This Row],[Namn]],E:E)</f>
        <v>0</v>
      </c>
      <c r="R354" s="97">
        <f>SUMIF(B:B,Table1[[#This Row],[Namn]],F:F)</f>
        <v>0</v>
      </c>
    </row>
    <row r="355" spans="1:18" x14ac:dyDescent="0.25">
      <c r="A355" s="97">
        <v>2014</v>
      </c>
      <c r="B355" s="98" t="s">
        <v>170</v>
      </c>
      <c r="C355" s="97">
        <v>11</v>
      </c>
      <c r="D355" s="99">
        <f>IFERROR(Table1[[#This Row],[MAT]]/Table1[[#This Row],[LAG MATCH]],"")</f>
        <v>0.6875</v>
      </c>
      <c r="E355" s="97">
        <v>0</v>
      </c>
      <c r="F355" s="97">
        <v>0</v>
      </c>
      <c r="G355" s="97">
        <v>1</v>
      </c>
      <c r="H355" s="97">
        <v>16</v>
      </c>
      <c r="I355" s="100">
        <f t="shared" si="11"/>
        <v>9.0909090909090912E-2</v>
      </c>
      <c r="J355" s="97">
        <f>Table1[[#This Row],[ÅR]]</f>
        <v>2014</v>
      </c>
      <c r="K355" s="97">
        <v>1990</v>
      </c>
      <c r="L355" s="97">
        <f>Table1[[#This Row],[ÅR]]-Table1[[#This Row],[FÖDD]]</f>
        <v>24</v>
      </c>
      <c r="M355" s="97">
        <v>4</v>
      </c>
      <c r="N355" s="97">
        <f>SUMIF(B:B,Table1[[#This Row],[Namn]],C:C)</f>
        <v>35</v>
      </c>
      <c r="O355" s="97">
        <f>COUNTIF(B:B,Table1[[#This Row],[Namn]])</f>
        <v>4</v>
      </c>
      <c r="P355" s="97">
        <f>SUMIF(B:B,Table1[[#This Row],[Namn]],G:G)</f>
        <v>1</v>
      </c>
      <c r="Q355" s="97">
        <f>SUMIF(B:B,Table1[[#This Row],[Namn]],E:E)</f>
        <v>0</v>
      </c>
      <c r="R355" s="97">
        <f>SUMIF(B:B,Table1[[#This Row],[Namn]],F:F)</f>
        <v>0</v>
      </c>
    </row>
    <row r="356" spans="1:18" x14ac:dyDescent="0.25">
      <c r="A356" s="97">
        <v>2014</v>
      </c>
      <c r="B356" s="98" t="s">
        <v>171</v>
      </c>
      <c r="C356" s="97">
        <v>11</v>
      </c>
      <c r="D356" s="99">
        <f>IFERROR(Table1[[#This Row],[MAT]]/Table1[[#This Row],[LAG MATCH]],"")</f>
        <v>0.6875</v>
      </c>
      <c r="E356" s="97">
        <v>0</v>
      </c>
      <c r="F356" s="97">
        <v>0</v>
      </c>
      <c r="G356" s="97">
        <v>0</v>
      </c>
      <c r="H356" s="97">
        <v>16</v>
      </c>
      <c r="I356" s="100">
        <f t="shared" si="11"/>
        <v>0</v>
      </c>
      <c r="J356" s="97">
        <f>Table1[[#This Row],[ÅR]]</f>
        <v>2014</v>
      </c>
      <c r="K356" s="97">
        <v>1997</v>
      </c>
      <c r="L356" s="97">
        <f>Table1[[#This Row],[ÅR]]-Table1[[#This Row],[FÖDD]]</f>
        <v>17</v>
      </c>
      <c r="M356" s="97">
        <v>4</v>
      </c>
      <c r="N356" s="97">
        <f>SUMIF(B:B,Table1[[#This Row],[Namn]],C:C)</f>
        <v>32</v>
      </c>
      <c r="O356" s="97">
        <f>COUNTIF(B:B,Table1[[#This Row],[Namn]])</f>
        <v>3</v>
      </c>
      <c r="P356" s="97">
        <f>SUMIF(B:B,Table1[[#This Row],[Namn]],G:G)</f>
        <v>0</v>
      </c>
      <c r="Q356" s="97">
        <f>SUMIF(B:B,Table1[[#This Row],[Namn]],E:E)</f>
        <v>0</v>
      </c>
      <c r="R356" s="97">
        <f>SUMIF(B:B,Table1[[#This Row],[Namn]],F:F)</f>
        <v>0</v>
      </c>
    </row>
    <row r="357" spans="1:18" x14ac:dyDescent="0.25">
      <c r="A357" s="97">
        <v>2014</v>
      </c>
      <c r="B357" s="98" t="s">
        <v>172</v>
      </c>
      <c r="C357" s="97">
        <v>11</v>
      </c>
      <c r="D357" s="99">
        <f>IFERROR(Table1[[#This Row],[MAT]]/Table1[[#This Row],[LAG MATCH]],"")</f>
        <v>0.6875</v>
      </c>
      <c r="E357" s="97">
        <v>0</v>
      </c>
      <c r="F357" s="97">
        <v>0</v>
      </c>
      <c r="G357" s="97">
        <v>0</v>
      </c>
      <c r="H357" s="97">
        <v>16</v>
      </c>
      <c r="I357" s="100">
        <f t="shared" si="11"/>
        <v>0</v>
      </c>
      <c r="J357" s="97">
        <f>Table1[[#This Row],[ÅR]]</f>
        <v>2014</v>
      </c>
      <c r="K357" s="97">
        <v>1991</v>
      </c>
      <c r="L357" s="97">
        <f>Table1[[#This Row],[ÅR]]-Table1[[#This Row],[FÖDD]]</f>
        <v>23</v>
      </c>
      <c r="M357" s="97">
        <v>4</v>
      </c>
      <c r="N357" s="97">
        <f>SUMIF(B:B,Table1[[#This Row],[Namn]],C:C)</f>
        <v>35</v>
      </c>
      <c r="O357" s="97">
        <f>COUNTIF(B:B,Table1[[#This Row],[Namn]])</f>
        <v>3</v>
      </c>
      <c r="P357" s="97">
        <f>SUMIF(B:B,Table1[[#This Row],[Namn]],G:G)</f>
        <v>0</v>
      </c>
      <c r="Q357" s="97">
        <f>SUMIF(B:B,Table1[[#This Row],[Namn]],E:E)</f>
        <v>1</v>
      </c>
      <c r="R357" s="97">
        <f>SUMIF(B:B,Table1[[#This Row],[Namn]],F:F)</f>
        <v>0</v>
      </c>
    </row>
    <row r="358" spans="1:18" x14ac:dyDescent="0.25">
      <c r="A358" s="97">
        <v>2014</v>
      </c>
      <c r="B358" s="98" t="s">
        <v>101</v>
      </c>
      <c r="C358" s="97">
        <v>9</v>
      </c>
      <c r="D358" s="99">
        <f>IFERROR(Table1[[#This Row],[MAT]]/Table1[[#This Row],[LAG MATCH]],"")</f>
        <v>0.5625</v>
      </c>
      <c r="E358" s="97">
        <v>0</v>
      </c>
      <c r="F358" s="97">
        <v>0</v>
      </c>
      <c r="G358" s="97">
        <v>6</v>
      </c>
      <c r="H358" s="97">
        <v>16</v>
      </c>
      <c r="I358" s="100">
        <f t="shared" si="11"/>
        <v>0.66666666666666663</v>
      </c>
      <c r="J358" s="97">
        <f>Table1[[#This Row],[ÅR]]</f>
        <v>2014</v>
      </c>
      <c r="K358" s="97">
        <v>1996</v>
      </c>
      <c r="L358" s="97">
        <f>Table1[[#This Row],[ÅR]]-Table1[[#This Row],[FÖDD]]</f>
        <v>18</v>
      </c>
      <c r="M358" s="97">
        <v>4</v>
      </c>
      <c r="N358" s="97">
        <f>SUMIF(B:B,Table1[[#This Row],[Namn]],C:C)</f>
        <v>121</v>
      </c>
      <c r="O358" s="97">
        <f>COUNTIF(B:B,Table1[[#This Row],[Namn]])</f>
        <v>9</v>
      </c>
      <c r="P358" s="97">
        <f>SUMIF(B:B,Table1[[#This Row],[Namn]],G:G)</f>
        <v>13</v>
      </c>
      <c r="Q358" s="97">
        <f>SUMIF(B:B,Table1[[#This Row],[Namn]],E:E)</f>
        <v>2</v>
      </c>
      <c r="R358" s="97">
        <f>SUMIF(B:B,Table1[[#This Row],[Namn]],F:F)</f>
        <v>1</v>
      </c>
    </row>
    <row r="359" spans="1:18" x14ac:dyDescent="0.25">
      <c r="A359" s="97">
        <v>2014</v>
      </c>
      <c r="B359" s="98" t="s">
        <v>161</v>
      </c>
      <c r="C359" s="97">
        <v>9</v>
      </c>
      <c r="D359" s="99">
        <f>IFERROR(Table1[[#This Row],[MAT]]/Table1[[#This Row],[LAG MATCH]],"")</f>
        <v>0.5625</v>
      </c>
      <c r="E359" s="97">
        <v>0</v>
      </c>
      <c r="F359" s="97">
        <v>0</v>
      </c>
      <c r="G359" s="97">
        <v>0</v>
      </c>
      <c r="H359" s="97">
        <v>16</v>
      </c>
      <c r="I359" s="100">
        <f t="shared" si="11"/>
        <v>0</v>
      </c>
      <c r="J359" s="97">
        <f>Table1[[#This Row],[ÅR]]</f>
        <v>2014</v>
      </c>
      <c r="K359" s="97">
        <v>1998</v>
      </c>
      <c r="L359" s="97">
        <f>Table1[[#This Row],[ÅR]]-Table1[[#This Row],[FÖDD]]</f>
        <v>16</v>
      </c>
      <c r="M359" s="97">
        <v>4</v>
      </c>
      <c r="N359" s="97">
        <f>SUMIF(B:B,Table1[[#This Row],[Namn]],C:C)</f>
        <v>19</v>
      </c>
      <c r="O359" s="97">
        <f>COUNTIF(B:B,Table1[[#This Row],[Namn]])</f>
        <v>3</v>
      </c>
      <c r="P359" s="97">
        <f>SUMIF(B:B,Table1[[#This Row],[Namn]],G:G)</f>
        <v>0</v>
      </c>
      <c r="Q359" s="97">
        <f>SUMIF(B:B,Table1[[#This Row],[Namn]],E:E)</f>
        <v>0</v>
      </c>
      <c r="R359" s="97">
        <f>SUMIF(B:B,Table1[[#This Row],[Namn]],F:F)</f>
        <v>0</v>
      </c>
    </row>
    <row r="360" spans="1:18" x14ac:dyDescent="0.25">
      <c r="A360" s="97">
        <v>2014</v>
      </c>
      <c r="B360" s="98" t="s">
        <v>173</v>
      </c>
      <c r="C360" s="97">
        <v>5</v>
      </c>
      <c r="D360" s="99">
        <f>IFERROR(Table1[[#This Row],[MAT]]/Table1[[#This Row],[LAG MATCH]],"")</f>
        <v>0.3125</v>
      </c>
      <c r="E360" s="97">
        <v>0</v>
      </c>
      <c r="F360" s="97">
        <v>0</v>
      </c>
      <c r="G360" s="97">
        <v>1</v>
      </c>
      <c r="H360" s="97">
        <v>16</v>
      </c>
      <c r="I360" s="100">
        <f t="shared" si="11"/>
        <v>0.2</v>
      </c>
      <c r="J360" s="97">
        <f>Table1[[#This Row],[ÅR]]</f>
        <v>2014</v>
      </c>
      <c r="K360" s="97">
        <v>1999</v>
      </c>
      <c r="L360" s="97">
        <f>Table1[[#This Row],[ÅR]]-Table1[[#This Row],[FÖDD]]</f>
        <v>15</v>
      </c>
      <c r="M360" s="97">
        <v>4</v>
      </c>
      <c r="N360" s="97">
        <f>SUMIF(B:B,Table1[[#This Row],[Namn]],C:C)</f>
        <v>10</v>
      </c>
      <c r="O360" s="97">
        <f>COUNTIF(B:B,Table1[[#This Row],[Namn]])</f>
        <v>2</v>
      </c>
      <c r="P360" s="97">
        <f>SUMIF(B:B,Table1[[#This Row],[Namn]],G:G)</f>
        <v>1</v>
      </c>
      <c r="Q360" s="97">
        <f>SUMIF(B:B,Table1[[#This Row],[Namn]],E:E)</f>
        <v>0</v>
      </c>
      <c r="R360" s="97">
        <f>SUMIF(B:B,Table1[[#This Row],[Namn]],F:F)</f>
        <v>0</v>
      </c>
    </row>
    <row r="361" spans="1:18" x14ac:dyDescent="0.25">
      <c r="A361" s="97">
        <v>2014</v>
      </c>
      <c r="B361" s="98" t="s">
        <v>174</v>
      </c>
      <c r="C361" s="97">
        <v>5</v>
      </c>
      <c r="D361" s="99">
        <f>IFERROR(Table1[[#This Row],[MAT]]/Table1[[#This Row],[LAG MATCH]],"")</f>
        <v>0.3125</v>
      </c>
      <c r="E361" s="97">
        <v>0</v>
      </c>
      <c r="F361" s="97">
        <v>0</v>
      </c>
      <c r="G361" s="97">
        <v>0</v>
      </c>
      <c r="H361" s="97">
        <v>16</v>
      </c>
      <c r="I361" s="100">
        <f t="shared" si="11"/>
        <v>0</v>
      </c>
      <c r="J361" s="97">
        <f>Table1[[#This Row],[ÅR]]</f>
        <v>2014</v>
      </c>
      <c r="K361" s="97">
        <v>1994</v>
      </c>
      <c r="L361" s="97">
        <f>Table1[[#This Row],[ÅR]]-Table1[[#This Row],[FÖDD]]</f>
        <v>20</v>
      </c>
      <c r="M361" s="97">
        <v>4</v>
      </c>
      <c r="N361" s="97">
        <f>SUMIF(B:B,Table1[[#This Row],[Namn]],C:C)</f>
        <v>5</v>
      </c>
      <c r="O361" s="97">
        <f>COUNTIF(B:B,Table1[[#This Row],[Namn]])</f>
        <v>1</v>
      </c>
      <c r="P361" s="97">
        <f>SUMIF(B:B,Table1[[#This Row],[Namn]],G:G)</f>
        <v>0</v>
      </c>
      <c r="Q361" s="97">
        <f>SUMIF(B:B,Table1[[#This Row],[Namn]],E:E)</f>
        <v>0</v>
      </c>
      <c r="R361" s="97">
        <f>SUMIF(B:B,Table1[[#This Row],[Namn]],F:F)</f>
        <v>0</v>
      </c>
    </row>
    <row r="362" spans="1:18" x14ac:dyDescent="0.25">
      <c r="A362" s="97">
        <v>2014</v>
      </c>
      <c r="B362" s="98" t="s">
        <v>150</v>
      </c>
      <c r="C362" s="97">
        <v>4</v>
      </c>
      <c r="D362" s="99">
        <f>IFERROR(Table1[[#This Row],[MAT]]/Table1[[#This Row],[LAG MATCH]],"")</f>
        <v>0.25</v>
      </c>
      <c r="E362" s="97">
        <v>0</v>
      </c>
      <c r="F362" s="97">
        <v>0</v>
      </c>
      <c r="G362" s="97">
        <v>0</v>
      </c>
      <c r="H362" s="97">
        <v>16</v>
      </c>
      <c r="I362" s="100">
        <f t="shared" si="11"/>
        <v>0</v>
      </c>
      <c r="J362" s="97">
        <f>Table1[[#This Row],[ÅR]]</f>
        <v>2014</v>
      </c>
      <c r="K362" s="97">
        <v>1999</v>
      </c>
      <c r="L362" s="97">
        <f>Table1[[#This Row],[ÅR]]-Table1[[#This Row],[FÖDD]]</f>
        <v>15</v>
      </c>
      <c r="M362" s="97">
        <v>4</v>
      </c>
      <c r="N362" s="97">
        <f>SUMIF(B:B,Table1[[#This Row],[Namn]],C:C)</f>
        <v>19</v>
      </c>
      <c r="O362" s="97">
        <f>COUNTIF(B:B,Table1[[#This Row],[Namn]])</f>
        <v>3</v>
      </c>
      <c r="P362" s="97">
        <f>SUMIF(B:B,Table1[[#This Row],[Namn]],G:G)</f>
        <v>0</v>
      </c>
      <c r="Q362" s="97">
        <f>SUMIF(B:B,Table1[[#This Row],[Namn]],E:E)</f>
        <v>0</v>
      </c>
      <c r="R362" s="97">
        <f>SUMIF(B:B,Table1[[#This Row],[Namn]],F:F)</f>
        <v>0</v>
      </c>
    </row>
    <row r="363" spans="1:18" x14ac:dyDescent="0.25">
      <c r="A363" s="97">
        <v>2014</v>
      </c>
      <c r="B363" s="98" t="s">
        <v>175</v>
      </c>
      <c r="C363" s="97">
        <v>3</v>
      </c>
      <c r="D363" s="99">
        <f>IFERROR(Table1[[#This Row],[MAT]]/Table1[[#This Row],[LAG MATCH]],"")</f>
        <v>0.1875</v>
      </c>
      <c r="E363" s="97">
        <v>0</v>
      </c>
      <c r="F363" s="97">
        <v>0</v>
      </c>
      <c r="G363" s="97">
        <v>0</v>
      </c>
      <c r="H363" s="97">
        <v>16</v>
      </c>
      <c r="I363" s="100">
        <f t="shared" si="11"/>
        <v>0</v>
      </c>
      <c r="J363" s="97">
        <f>Table1[[#This Row],[ÅR]]</f>
        <v>2014</v>
      </c>
      <c r="K363" s="97">
        <v>1998</v>
      </c>
      <c r="L363" s="97">
        <f>Table1[[#This Row],[ÅR]]-Table1[[#This Row],[FÖDD]]</f>
        <v>16</v>
      </c>
      <c r="M363" s="97">
        <v>4</v>
      </c>
      <c r="N363" s="97">
        <f>SUMIF(B:B,Table1[[#This Row],[Namn]],C:C)</f>
        <v>3</v>
      </c>
      <c r="O363" s="97">
        <f>COUNTIF(B:B,Table1[[#This Row],[Namn]])</f>
        <v>1</v>
      </c>
      <c r="P363" s="97">
        <f>SUMIF(B:B,Table1[[#This Row],[Namn]],G:G)</f>
        <v>0</v>
      </c>
      <c r="Q363" s="97">
        <f>SUMIF(B:B,Table1[[#This Row],[Namn]],E:E)</f>
        <v>0</v>
      </c>
      <c r="R363" s="97">
        <f>SUMIF(B:B,Table1[[#This Row],[Namn]],F:F)</f>
        <v>0</v>
      </c>
    </row>
    <row r="364" spans="1:18" x14ac:dyDescent="0.25">
      <c r="A364" s="97">
        <v>2014</v>
      </c>
      <c r="B364" s="98" t="s">
        <v>156</v>
      </c>
      <c r="C364" s="97">
        <v>2</v>
      </c>
      <c r="D364" s="99">
        <f>IFERROR(Table1[[#This Row],[MAT]]/Table1[[#This Row],[LAG MATCH]],"")</f>
        <v>0.125</v>
      </c>
      <c r="E364" s="97">
        <v>0</v>
      </c>
      <c r="F364" s="97">
        <v>0</v>
      </c>
      <c r="G364" s="97">
        <v>0</v>
      </c>
      <c r="H364" s="97">
        <v>16</v>
      </c>
      <c r="I364" s="100">
        <f t="shared" si="11"/>
        <v>0</v>
      </c>
      <c r="J364" s="97">
        <f>Table1[[#This Row],[ÅR]]</f>
        <v>2014</v>
      </c>
      <c r="K364" s="97">
        <v>1999</v>
      </c>
      <c r="L364" s="97">
        <f>Table1[[#This Row],[ÅR]]-Table1[[#This Row],[FÖDD]]</f>
        <v>15</v>
      </c>
      <c r="M364" s="97">
        <v>4</v>
      </c>
      <c r="N364" s="97">
        <f>SUMIF(B:B,Table1[[#This Row],[Namn]],C:C)</f>
        <v>9</v>
      </c>
      <c r="O364" s="97">
        <f>COUNTIF(B:B,Table1[[#This Row],[Namn]])</f>
        <v>3</v>
      </c>
      <c r="P364" s="97">
        <f>SUMIF(B:B,Table1[[#This Row],[Namn]],G:G)</f>
        <v>0</v>
      </c>
      <c r="Q364" s="97">
        <f>SUMIF(B:B,Table1[[#This Row],[Namn]],E:E)</f>
        <v>0</v>
      </c>
      <c r="R364" s="97">
        <f>SUMIF(B:B,Table1[[#This Row],[Namn]],F:F)</f>
        <v>0</v>
      </c>
    </row>
    <row r="365" spans="1:18" x14ac:dyDescent="0.25">
      <c r="A365" s="97">
        <v>2014</v>
      </c>
      <c r="B365" s="98" t="s">
        <v>158</v>
      </c>
      <c r="C365" s="97">
        <v>1</v>
      </c>
      <c r="D365" s="99">
        <f>IFERROR(Table1[[#This Row],[MAT]]/Table1[[#This Row],[LAG MATCH]],"")</f>
        <v>6.25E-2</v>
      </c>
      <c r="E365" s="97">
        <v>0</v>
      </c>
      <c r="F365" s="97">
        <v>0</v>
      </c>
      <c r="G365" s="97">
        <v>1</v>
      </c>
      <c r="H365" s="97">
        <v>16</v>
      </c>
      <c r="I365" s="100">
        <f t="shared" si="11"/>
        <v>1</v>
      </c>
      <c r="J365" s="97">
        <f>Table1[[#This Row],[ÅR]]</f>
        <v>2014</v>
      </c>
      <c r="K365" s="97">
        <v>1998</v>
      </c>
      <c r="L365" s="97">
        <f>Table1[[#This Row],[ÅR]]-Table1[[#This Row],[FÖDD]]</f>
        <v>16</v>
      </c>
      <c r="M365" s="97">
        <v>4</v>
      </c>
      <c r="N365" s="97">
        <f>SUMIF(B:B,Table1[[#This Row],[Namn]],C:C)</f>
        <v>6</v>
      </c>
      <c r="O365" s="97">
        <f>COUNTIF(B:B,Table1[[#This Row],[Namn]])</f>
        <v>2</v>
      </c>
      <c r="P365" s="97">
        <f>SUMIF(B:B,Table1[[#This Row],[Namn]],G:G)</f>
        <v>1</v>
      </c>
      <c r="Q365" s="97">
        <f>SUMIF(B:B,Table1[[#This Row],[Namn]],E:E)</f>
        <v>0</v>
      </c>
      <c r="R365" s="97">
        <f>SUMIF(B:B,Table1[[#This Row],[Namn]],F:F)</f>
        <v>0</v>
      </c>
    </row>
    <row r="366" spans="1:18" x14ac:dyDescent="0.25">
      <c r="A366" s="97">
        <v>2014</v>
      </c>
      <c r="B366" s="98" t="s">
        <v>147</v>
      </c>
      <c r="C366" s="97">
        <v>1</v>
      </c>
      <c r="D366" s="99">
        <f>IFERROR(Table1[[#This Row],[MAT]]/Table1[[#This Row],[LAG MATCH]],"")</f>
        <v>6.25E-2</v>
      </c>
      <c r="E366" s="97">
        <v>0</v>
      </c>
      <c r="F366" s="97">
        <v>0</v>
      </c>
      <c r="G366" s="97">
        <v>0</v>
      </c>
      <c r="H366" s="97">
        <v>16</v>
      </c>
      <c r="I366" s="100">
        <f t="shared" si="11"/>
        <v>0</v>
      </c>
      <c r="J366" s="97">
        <f>Table1[[#This Row],[ÅR]]</f>
        <v>2014</v>
      </c>
      <c r="K366" s="97">
        <v>2000</v>
      </c>
      <c r="L366" s="97">
        <f>Table1[[#This Row],[ÅR]]-Table1[[#This Row],[FÖDD]]</f>
        <v>14</v>
      </c>
      <c r="M366" s="97">
        <v>4</v>
      </c>
      <c r="N366" s="97">
        <f>SUMIF(B:B,Table1[[#This Row],[Namn]],C:C)</f>
        <v>15</v>
      </c>
      <c r="O366" s="97">
        <f>COUNTIF(B:B,Table1[[#This Row],[Namn]])</f>
        <v>3</v>
      </c>
      <c r="P366" s="97">
        <f>SUMIF(B:B,Table1[[#This Row],[Namn]],G:G)</f>
        <v>0</v>
      </c>
      <c r="Q366" s="97">
        <f>SUMIF(B:B,Table1[[#This Row],[Namn]],E:E)</f>
        <v>0</v>
      </c>
      <c r="R366" s="97">
        <f>SUMIF(B:B,Table1[[#This Row],[Namn]],F:F)</f>
        <v>0</v>
      </c>
    </row>
    <row r="367" spans="1:18" x14ac:dyDescent="0.25">
      <c r="A367" s="97">
        <v>2014</v>
      </c>
      <c r="B367" s="98" t="s">
        <v>151</v>
      </c>
      <c r="C367" s="97">
        <v>1</v>
      </c>
      <c r="D367" s="99">
        <f>IFERROR(Table1[[#This Row],[MAT]]/Table1[[#This Row],[LAG MATCH]],"")</f>
        <v>6.25E-2</v>
      </c>
      <c r="E367" s="97">
        <v>0</v>
      </c>
      <c r="F367" s="97">
        <v>0</v>
      </c>
      <c r="G367" s="97">
        <v>0</v>
      </c>
      <c r="H367" s="97">
        <v>16</v>
      </c>
      <c r="I367" s="100">
        <f t="shared" si="11"/>
        <v>0</v>
      </c>
      <c r="J367" s="97">
        <f>Table1[[#This Row],[ÅR]]</f>
        <v>2014</v>
      </c>
      <c r="K367" s="97">
        <v>1999</v>
      </c>
      <c r="L367" s="97">
        <f>Table1[[#This Row],[ÅR]]-Table1[[#This Row],[FÖDD]]</f>
        <v>15</v>
      </c>
      <c r="M367" s="97">
        <v>4</v>
      </c>
      <c r="N367" s="97">
        <f>SUMIF(B:B,Table1[[#This Row],[Namn]],C:C)</f>
        <v>12</v>
      </c>
      <c r="O367" s="97">
        <f>COUNTIF(B:B,Table1[[#This Row],[Namn]])</f>
        <v>2</v>
      </c>
      <c r="P367" s="97">
        <f>SUMIF(B:B,Table1[[#This Row],[Namn]],G:G)</f>
        <v>1</v>
      </c>
      <c r="Q367" s="97">
        <f>SUMIF(B:B,Table1[[#This Row],[Namn]],E:E)</f>
        <v>0</v>
      </c>
      <c r="R367" s="97">
        <f>SUMIF(B:B,Table1[[#This Row],[Namn]],F:F)</f>
        <v>0</v>
      </c>
    </row>
    <row r="368" spans="1:18" x14ac:dyDescent="0.25">
      <c r="A368" s="97">
        <v>2014</v>
      </c>
      <c r="B368" s="98" t="s">
        <v>164</v>
      </c>
      <c r="C368" s="97">
        <v>1</v>
      </c>
      <c r="D368" s="99">
        <f>IFERROR(Table1[[#This Row],[MAT]]/Table1[[#This Row],[LAG MATCH]],"")</f>
        <v>6.25E-2</v>
      </c>
      <c r="E368" s="97">
        <v>0</v>
      </c>
      <c r="F368" s="97">
        <v>0</v>
      </c>
      <c r="G368" s="97">
        <v>0</v>
      </c>
      <c r="H368" s="97">
        <v>16</v>
      </c>
      <c r="I368" s="100">
        <f t="shared" si="11"/>
        <v>0</v>
      </c>
      <c r="J368" s="97">
        <f>Table1[[#This Row],[ÅR]]</f>
        <v>2014</v>
      </c>
      <c r="K368" s="97">
        <v>1998</v>
      </c>
      <c r="L368" s="97">
        <f>Table1[[#This Row],[ÅR]]-Table1[[#This Row],[FÖDD]]</f>
        <v>16</v>
      </c>
      <c r="M368" s="97">
        <v>4</v>
      </c>
      <c r="N368" s="97">
        <f>SUMIF(B:B,Table1[[#This Row],[Namn]],C:C)</f>
        <v>11</v>
      </c>
      <c r="O368" s="97">
        <f>COUNTIF(B:B,Table1[[#This Row],[Namn]])</f>
        <v>3</v>
      </c>
      <c r="P368" s="97">
        <f>SUMIF(B:B,Table1[[#This Row],[Namn]],G:G)</f>
        <v>0</v>
      </c>
      <c r="Q368" s="97">
        <f>SUMIF(B:B,Table1[[#This Row],[Namn]],E:E)</f>
        <v>0</v>
      </c>
      <c r="R368" s="97">
        <f>SUMIF(B:B,Table1[[#This Row],[Namn]],F:F)</f>
        <v>0</v>
      </c>
    </row>
    <row r="369" spans="1:18" x14ac:dyDescent="0.25">
      <c r="A369" s="97">
        <v>2013</v>
      </c>
      <c r="B369" s="98" t="s">
        <v>133</v>
      </c>
      <c r="C369" s="97">
        <v>14</v>
      </c>
      <c r="D369" s="99">
        <f>IFERROR(Table1[[#This Row],[MAT]]/Table1[[#This Row],[LAG MATCH]],"")</f>
        <v>1</v>
      </c>
      <c r="E369" s="97">
        <v>0</v>
      </c>
      <c r="F369" s="97">
        <v>0</v>
      </c>
      <c r="G369" s="97">
        <v>15</v>
      </c>
      <c r="H369" s="97">
        <v>14</v>
      </c>
      <c r="I369" s="100">
        <f t="shared" si="11"/>
        <v>1.0714285714285714</v>
      </c>
      <c r="J369" s="97">
        <f>Table1[[#This Row],[ÅR]]</f>
        <v>2013</v>
      </c>
      <c r="K369" s="97">
        <v>1996</v>
      </c>
      <c r="L369" s="97">
        <f>Table1[[#This Row],[ÅR]]-Table1[[#This Row],[FÖDD]]</f>
        <v>17</v>
      </c>
      <c r="M369" s="97">
        <v>4</v>
      </c>
      <c r="N369" s="97">
        <f>SUMIF(B:B,Table1[[#This Row],[Namn]],C:C)</f>
        <v>83</v>
      </c>
      <c r="O369" s="97">
        <f>COUNTIF(B:B,Table1[[#This Row],[Namn]])</f>
        <v>5</v>
      </c>
      <c r="P369" s="97">
        <f>SUMIF(B:B,Table1[[#This Row],[Namn]],G:G)</f>
        <v>119</v>
      </c>
      <c r="Q369" s="97">
        <f>SUMIF(B:B,Table1[[#This Row],[Namn]],E:E)</f>
        <v>0</v>
      </c>
      <c r="R369" s="97">
        <f>SUMIF(B:B,Table1[[#This Row],[Namn]],F:F)</f>
        <v>0</v>
      </c>
    </row>
    <row r="370" spans="1:18" x14ac:dyDescent="0.25">
      <c r="A370" s="97">
        <v>2013</v>
      </c>
      <c r="B370" s="98" t="s">
        <v>139</v>
      </c>
      <c r="C370" s="97">
        <v>14</v>
      </c>
      <c r="D370" s="99">
        <f>IFERROR(Table1[[#This Row],[MAT]]/Table1[[#This Row],[LAG MATCH]],"")</f>
        <v>1</v>
      </c>
      <c r="E370" s="97">
        <v>0</v>
      </c>
      <c r="F370" s="97">
        <v>0</v>
      </c>
      <c r="G370" s="97">
        <v>9</v>
      </c>
      <c r="H370" s="97">
        <v>14</v>
      </c>
      <c r="I370" s="100">
        <f t="shared" si="11"/>
        <v>0.6428571428571429</v>
      </c>
      <c r="J370" s="97">
        <f>Table1[[#This Row],[ÅR]]</f>
        <v>2013</v>
      </c>
      <c r="K370" s="97">
        <v>1996</v>
      </c>
      <c r="L370" s="97">
        <f>Table1[[#This Row],[ÅR]]-Table1[[#This Row],[FÖDD]]</f>
        <v>17</v>
      </c>
      <c r="M370" s="97">
        <v>4</v>
      </c>
      <c r="N370" s="97">
        <f>SUMIF(B:B,Table1[[#This Row],[Namn]],C:C)</f>
        <v>37</v>
      </c>
      <c r="O370" s="97">
        <f>COUNTIF(B:B,Table1[[#This Row],[Namn]])</f>
        <v>3</v>
      </c>
      <c r="P370" s="97">
        <f>SUMIF(B:B,Table1[[#This Row],[Namn]],G:G)</f>
        <v>14</v>
      </c>
      <c r="Q370" s="97">
        <f>SUMIF(B:B,Table1[[#This Row],[Namn]],E:E)</f>
        <v>0</v>
      </c>
      <c r="R370" s="97">
        <f>SUMIF(B:B,Table1[[#This Row],[Namn]],F:F)</f>
        <v>0</v>
      </c>
    </row>
    <row r="371" spans="1:18" x14ac:dyDescent="0.25">
      <c r="A371" s="97">
        <v>2013</v>
      </c>
      <c r="B371" s="98" t="s">
        <v>84</v>
      </c>
      <c r="C371" s="97">
        <v>14</v>
      </c>
      <c r="D371" s="99">
        <f>IFERROR(Table1[[#This Row],[MAT]]/Table1[[#This Row],[LAG MATCH]],"")</f>
        <v>1</v>
      </c>
      <c r="E371" s="97">
        <v>0</v>
      </c>
      <c r="F371" s="97">
        <v>0</v>
      </c>
      <c r="G371" s="97">
        <v>1</v>
      </c>
      <c r="H371" s="97">
        <v>14</v>
      </c>
      <c r="I371" s="100">
        <f t="shared" si="11"/>
        <v>7.1428571428571425E-2</v>
      </c>
      <c r="J371" s="97">
        <f>Table1[[#This Row],[ÅR]]</f>
        <v>2013</v>
      </c>
      <c r="K371" s="97">
        <v>1997</v>
      </c>
      <c r="L371" s="97">
        <f>Table1[[#This Row],[ÅR]]-Table1[[#This Row],[FÖDD]]</f>
        <v>16</v>
      </c>
      <c r="M371" s="97">
        <v>4</v>
      </c>
      <c r="N371" s="97">
        <f>SUMIF(B:B,Table1[[#This Row],[Namn]],C:C)</f>
        <v>74</v>
      </c>
      <c r="O371" s="97">
        <f>COUNTIF(B:B,Table1[[#This Row],[Namn]])</f>
        <v>5</v>
      </c>
      <c r="P371" s="97">
        <f>SUMIF(B:B,Table1[[#This Row],[Namn]],G:G)</f>
        <v>1</v>
      </c>
      <c r="Q371" s="97">
        <f>SUMIF(B:B,Table1[[#This Row],[Namn]],E:E)</f>
        <v>1</v>
      </c>
      <c r="R371" s="97">
        <f>SUMIF(B:B,Table1[[#This Row],[Namn]],F:F)</f>
        <v>0</v>
      </c>
    </row>
    <row r="372" spans="1:18" x14ac:dyDescent="0.25">
      <c r="A372" s="97">
        <v>2013</v>
      </c>
      <c r="B372" s="98" t="s">
        <v>74</v>
      </c>
      <c r="C372" s="97">
        <v>14</v>
      </c>
      <c r="D372" s="99">
        <f>IFERROR(Table1[[#This Row],[MAT]]/Table1[[#This Row],[LAG MATCH]],"")</f>
        <v>1</v>
      </c>
      <c r="E372" s="97">
        <v>0</v>
      </c>
      <c r="F372" s="97">
        <v>0</v>
      </c>
      <c r="G372" s="97">
        <v>0</v>
      </c>
      <c r="H372" s="97">
        <v>14</v>
      </c>
      <c r="I372" s="100">
        <f t="shared" si="11"/>
        <v>0</v>
      </c>
      <c r="J372" s="97">
        <f>Table1[[#This Row],[ÅR]]</f>
        <v>2013</v>
      </c>
      <c r="K372" s="97">
        <v>1996</v>
      </c>
      <c r="L372" s="97">
        <f>Table1[[#This Row],[ÅR]]-Table1[[#This Row],[FÖDD]]</f>
        <v>17</v>
      </c>
      <c r="M372" s="97">
        <v>4</v>
      </c>
      <c r="N372" s="97">
        <f>SUMIF(B:B,Table1[[#This Row],[Namn]],C:C)</f>
        <v>200</v>
      </c>
      <c r="O372" s="97">
        <f>COUNTIF(B:B,Table1[[#This Row],[Namn]])</f>
        <v>12</v>
      </c>
      <c r="P372" s="97">
        <f>SUMIF(B:B,Table1[[#This Row],[Namn]],G:G)</f>
        <v>9</v>
      </c>
      <c r="Q372" s="97">
        <f>SUMIF(B:B,Table1[[#This Row],[Namn]],E:E)</f>
        <v>1</v>
      </c>
      <c r="R372" s="97">
        <f>SUMIF(B:B,Table1[[#This Row],[Namn]],F:F)</f>
        <v>0</v>
      </c>
    </row>
    <row r="373" spans="1:18" x14ac:dyDescent="0.25">
      <c r="A373" s="97">
        <v>2013</v>
      </c>
      <c r="B373" s="98" t="s">
        <v>168</v>
      </c>
      <c r="C373" s="97">
        <v>14</v>
      </c>
      <c r="D373" s="99">
        <f>IFERROR(Table1[[#This Row],[MAT]]/Table1[[#This Row],[LAG MATCH]],"")</f>
        <v>1</v>
      </c>
      <c r="E373" s="97">
        <v>0</v>
      </c>
      <c r="F373" s="97">
        <v>0</v>
      </c>
      <c r="G373" s="97">
        <v>0</v>
      </c>
      <c r="H373" s="97">
        <v>14</v>
      </c>
      <c r="I373" s="100">
        <f t="shared" si="11"/>
        <v>0</v>
      </c>
      <c r="J373" s="97">
        <f>Table1[[#This Row],[ÅR]]</f>
        <v>2013</v>
      </c>
      <c r="K373" s="97">
        <v>1969</v>
      </c>
      <c r="L373" s="97">
        <f>Table1[[#This Row],[ÅR]]-Table1[[#This Row],[FÖDD]]</f>
        <v>44</v>
      </c>
      <c r="M373" s="97">
        <v>4</v>
      </c>
      <c r="N373" s="97">
        <f>SUMIF(B:B,Table1[[#This Row],[Namn]],C:C)</f>
        <v>49</v>
      </c>
      <c r="O373" s="97">
        <f>COUNTIF(B:B,Table1[[#This Row],[Namn]])</f>
        <v>4</v>
      </c>
      <c r="P373" s="97">
        <f>SUMIF(B:B,Table1[[#This Row],[Namn]],G:G)</f>
        <v>0</v>
      </c>
      <c r="Q373" s="97">
        <f>SUMIF(B:B,Table1[[#This Row],[Namn]],E:E)</f>
        <v>2</v>
      </c>
      <c r="R373" s="97">
        <f>SUMIF(B:B,Table1[[#This Row],[Namn]],F:F)</f>
        <v>0</v>
      </c>
    </row>
    <row r="374" spans="1:18" x14ac:dyDescent="0.25">
      <c r="A374" s="97">
        <v>2013</v>
      </c>
      <c r="B374" s="98" t="s">
        <v>167</v>
      </c>
      <c r="C374" s="97">
        <v>13</v>
      </c>
      <c r="D374" s="99">
        <f>IFERROR(Table1[[#This Row],[MAT]]/Table1[[#This Row],[LAG MATCH]],"")</f>
        <v>0.9285714285714286</v>
      </c>
      <c r="E374" s="97">
        <v>1</v>
      </c>
      <c r="F374" s="97">
        <v>0</v>
      </c>
      <c r="G374" s="97">
        <v>0</v>
      </c>
      <c r="H374" s="97">
        <v>14</v>
      </c>
      <c r="I374" s="100">
        <f t="shared" si="11"/>
        <v>0</v>
      </c>
      <c r="J374" s="97">
        <f>Table1[[#This Row],[ÅR]]</f>
        <v>2013</v>
      </c>
      <c r="K374" s="97">
        <v>1996</v>
      </c>
      <c r="L374" s="97">
        <f>Table1[[#This Row],[ÅR]]-Table1[[#This Row],[FÖDD]]</f>
        <v>17</v>
      </c>
      <c r="M374" s="97">
        <v>4</v>
      </c>
      <c r="N374" s="97">
        <f>SUMIF(B:B,Table1[[#This Row],[Namn]],C:C)</f>
        <v>45</v>
      </c>
      <c r="O374" s="97">
        <f>COUNTIF(B:B,Table1[[#This Row],[Namn]])</f>
        <v>3</v>
      </c>
      <c r="P374" s="97">
        <f>SUMIF(B:B,Table1[[#This Row],[Namn]],G:G)</f>
        <v>2</v>
      </c>
      <c r="Q374" s="97">
        <f>SUMIF(B:B,Table1[[#This Row],[Namn]],E:E)</f>
        <v>2</v>
      </c>
      <c r="R374" s="97">
        <f>SUMIF(B:B,Table1[[#This Row],[Namn]],F:F)</f>
        <v>0</v>
      </c>
    </row>
    <row r="375" spans="1:18" x14ac:dyDescent="0.25">
      <c r="A375" s="97">
        <v>2013</v>
      </c>
      <c r="B375" s="98" t="s">
        <v>101</v>
      </c>
      <c r="C375" s="97">
        <v>13</v>
      </c>
      <c r="D375" s="99">
        <f>IFERROR(Table1[[#This Row],[MAT]]/Table1[[#This Row],[LAG MATCH]],"")</f>
        <v>0.9285714285714286</v>
      </c>
      <c r="E375" s="97">
        <v>0</v>
      </c>
      <c r="F375" s="97">
        <v>0</v>
      </c>
      <c r="G375" s="97">
        <v>0</v>
      </c>
      <c r="H375" s="97">
        <v>14</v>
      </c>
      <c r="I375" s="100">
        <f t="shared" si="11"/>
        <v>0</v>
      </c>
      <c r="J375" s="97">
        <f>Table1[[#This Row],[ÅR]]</f>
        <v>2013</v>
      </c>
      <c r="K375" s="97">
        <v>1996</v>
      </c>
      <c r="L375" s="97">
        <f>Table1[[#This Row],[ÅR]]-Table1[[#This Row],[FÖDD]]</f>
        <v>17</v>
      </c>
      <c r="M375" s="97">
        <v>4</v>
      </c>
      <c r="N375" s="97">
        <f>SUMIF(B:B,Table1[[#This Row],[Namn]],C:C)</f>
        <v>121</v>
      </c>
      <c r="O375" s="97">
        <f>COUNTIF(B:B,Table1[[#This Row],[Namn]])</f>
        <v>9</v>
      </c>
      <c r="P375" s="97">
        <f>SUMIF(B:B,Table1[[#This Row],[Namn]],G:G)</f>
        <v>13</v>
      </c>
      <c r="Q375" s="97">
        <f>SUMIF(B:B,Table1[[#This Row],[Namn]],E:E)</f>
        <v>2</v>
      </c>
      <c r="R375" s="97">
        <f>SUMIF(B:B,Table1[[#This Row],[Namn]],F:F)</f>
        <v>1</v>
      </c>
    </row>
    <row r="376" spans="1:18" x14ac:dyDescent="0.25">
      <c r="A376" s="97">
        <v>2013</v>
      </c>
      <c r="B376" s="98" t="s">
        <v>136</v>
      </c>
      <c r="C376" s="97">
        <v>13</v>
      </c>
      <c r="D376" s="99">
        <f>IFERROR(Table1[[#This Row],[MAT]]/Table1[[#This Row],[LAG MATCH]],"")</f>
        <v>0.9285714285714286</v>
      </c>
      <c r="E376" s="97">
        <v>0</v>
      </c>
      <c r="F376" s="97">
        <v>0</v>
      </c>
      <c r="G376" s="97">
        <v>0</v>
      </c>
      <c r="H376" s="97">
        <v>14</v>
      </c>
      <c r="I376" s="100">
        <f t="shared" si="11"/>
        <v>0</v>
      </c>
      <c r="J376" s="97">
        <f>Table1[[#This Row],[ÅR]]</f>
        <v>2013</v>
      </c>
      <c r="K376" s="97">
        <v>1996</v>
      </c>
      <c r="L376" s="97">
        <f>Table1[[#This Row],[ÅR]]-Table1[[#This Row],[FÖDD]]</f>
        <v>17</v>
      </c>
      <c r="M376" s="97">
        <v>4</v>
      </c>
      <c r="N376" s="97">
        <f>SUMIF(B:B,Table1[[#This Row],[Namn]],C:C)</f>
        <v>69</v>
      </c>
      <c r="O376" s="97">
        <f>COUNTIF(B:B,Table1[[#This Row],[Namn]])</f>
        <v>5</v>
      </c>
      <c r="P376" s="97">
        <f>SUMIF(B:B,Table1[[#This Row],[Namn]],G:G)</f>
        <v>1</v>
      </c>
      <c r="Q376" s="97">
        <f>SUMIF(B:B,Table1[[#This Row],[Namn]],E:E)</f>
        <v>0</v>
      </c>
      <c r="R376" s="97">
        <f>SUMIF(B:B,Table1[[#This Row],[Namn]],F:F)</f>
        <v>0</v>
      </c>
    </row>
    <row r="377" spans="1:18" x14ac:dyDescent="0.25">
      <c r="A377" s="97">
        <v>2013</v>
      </c>
      <c r="B377" s="98" t="s">
        <v>171</v>
      </c>
      <c r="C377" s="97">
        <v>12</v>
      </c>
      <c r="D377" s="99">
        <f>IFERROR(Table1[[#This Row],[MAT]]/Table1[[#This Row],[LAG MATCH]],"")</f>
        <v>0.8571428571428571</v>
      </c>
      <c r="E377" s="97">
        <v>0</v>
      </c>
      <c r="F377" s="97">
        <v>0</v>
      </c>
      <c r="G377" s="97">
        <v>0</v>
      </c>
      <c r="H377" s="97">
        <v>14</v>
      </c>
      <c r="I377" s="100">
        <f t="shared" si="11"/>
        <v>0</v>
      </c>
      <c r="J377" s="97">
        <f>Table1[[#This Row],[ÅR]]</f>
        <v>2013</v>
      </c>
      <c r="K377" s="97">
        <v>1997</v>
      </c>
      <c r="L377" s="97">
        <f>Table1[[#This Row],[ÅR]]-Table1[[#This Row],[FÖDD]]</f>
        <v>16</v>
      </c>
      <c r="M377" s="97">
        <v>4</v>
      </c>
      <c r="N377" s="97">
        <f>SUMIF(B:B,Table1[[#This Row],[Namn]],C:C)</f>
        <v>32</v>
      </c>
      <c r="O377" s="97">
        <f>COUNTIF(B:B,Table1[[#This Row],[Namn]])</f>
        <v>3</v>
      </c>
      <c r="P377" s="97">
        <f>SUMIF(B:B,Table1[[#This Row],[Namn]],G:G)</f>
        <v>0</v>
      </c>
      <c r="Q377" s="97">
        <f>SUMIF(B:B,Table1[[#This Row],[Namn]],E:E)</f>
        <v>0</v>
      </c>
      <c r="R377" s="97">
        <f>SUMIF(B:B,Table1[[#This Row],[Namn]],F:F)</f>
        <v>0</v>
      </c>
    </row>
    <row r="378" spans="1:18" x14ac:dyDescent="0.25">
      <c r="A378" s="97">
        <v>2013</v>
      </c>
      <c r="B378" s="98" t="s">
        <v>162</v>
      </c>
      <c r="C378" s="97">
        <v>11</v>
      </c>
      <c r="D378" s="99">
        <f>IFERROR(Table1[[#This Row],[MAT]]/Table1[[#This Row],[LAG MATCH]],"")</f>
        <v>0.7857142857142857</v>
      </c>
      <c r="E378" s="97">
        <v>0</v>
      </c>
      <c r="F378" s="97">
        <v>0</v>
      </c>
      <c r="G378" s="97">
        <v>2</v>
      </c>
      <c r="H378" s="97">
        <v>14</v>
      </c>
      <c r="I378" s="100">
        <f t="shared" si="11"/>
        <v>0.18181818181818182</v>
      </c>
      <c r="J378" s="97">
        <f>Table1[[#This Row],[ÅR]]</f>
        <v>2013</v>
      </c>
      <c r="K378" s="97">
        <v>1995</v>
      </c>
      <c r="L378" s="97">
        <f>Table1[[#This Row],[ÅR]]-Table1[[#This Row],[FÖDD]]</f>
        <v>18</v>
      </c>
      <c r="M378" s="97">
        <v>4</v>
      </c>
      <c r="N378" s="97">
        <f>SUMIF(B:B,Table1[[#This Row],[Namn]],C:C)</f>
        <v>28</v>
      </c>
      <c r="O378" s="97">
        <f>COUNTIF(B:B,Table1[[#This Row],[Namn]])</f>
        <v>3</v>
      </c>
      <c r="P378" s="97">
        <f>SUMIF(B:B,Table1[[#This Row],[Namn]],G:G)</f>
        <v>3</v>
      </c>
      <c r="Q378" s="97">
        <f>SUMIF(B:B,Table1[[#This Row],[Namn]],E:E)</f>
        <v>0</v>
      </c>
      <c r="R378" s="97">
        <f>SUMIF(B:B,Table1[[#This Row],[Namn]],F:F)</f>
        <v>0</v>
      </c>
    </row>
    <row r="379" spans="1:18" x14ac:dyDescent="0.25">
      <c r="A379" s="97">
        <v>2013</v>
      </c>
      <c r="B379" s="98" t="s">
        <v>172</v>
      </c>
      <c r="C379" s="97">
        <v>10</v>
      </c>
      <c r="D379" s="99">
        <f>IFERROR(Table1[[#This Row],[MAT]]/Table1[[#This Row],[LAG MATCH]],"")</f>
        <v>0.7142857142857143</v>
      </c>
      <c r="E379" s="97">
        <v>1</v>
      </c>
      <c r="F379" s="97">
        <v>0</v>
      </c>
      <c r="G379" s="97">
        <v>0</v>
      </c>
      <c r="H379" s="97">
        <v>14</v>
      </c>
      <c r="I379" s="100">
        <f t="shared" si="11"/>
        <v>0</v>
      </c>
      <c r="J379" s="97">
        <f>Table1[[#This Row],[ÅR]]</f>
        <v>2013</v>
      </c>
      <c r="K379" s="97">
        <v>1991</v>
      </c>
      <c r="L379" s="97">
        <f>Table1[[#This Row],[ÅR]]-Table1[[#This Row],[FÖDD]]</f>
        <v>22</v>
      </c>
      <c r="M379" s="97">
        <v>4</v>
      </c>
      <c r="N379" s="97">
        <f>SUMIF(B:B,Table1[[#This Row],[Namn]],C:C)</f>
        <v>35</v>
      </c>
      <c r="O379" s="97">
        <f>COUNTIF(B:B,Table1[[#This Row],[Namn]])</f>
        <v>3</v>
      </c>
      <c r="P379" s="97">
        <f>SUMIF(B:B,Table1[[#This Row],[Namn]],G:G)</f>
        <v>0</v>
      </c>
      <c r="Q379" s="97">
        <f>SUMIF(B:B,Table1[[#This Row],[Namn]],E:E)</f>
        <v>1</v>
      </c>
      <c r="R379" s="97">
        <f>SUMIF(B:B,Table1[[#This Row],[Namn]],F:F)</f>
        <v>0</v>
      </c>
    </row>
    <row r="380" spans="1:18" x14ac:dyDescent="0.25">
      <c r="A380" s="97">
        <v>2013</v>
      </c>
      <c r="B380" s="98" t="s">
        <v>137</v>
      </c>
      <c r="C380" s="97">
        <v>8</v>
      </c>
      <c r="D380" s="99">
        <f>IFERROR(Table1[[#This Row],[MAT]]/Table1[[#This Row],[LAG MATCH]],"")</f>
        <v>0.5714285714285714</v>
      </c>
      <c r="E380" s="97">
        <v>0</v>
      </c>
      <c r="F380" s="97">
        <v>0</v>
      </c>
      <c r="G380" s="97">
        <v>2</v>
      </c>
      <c r="H380" s="97">
        <v>14</v>
      </c>
      <c r="I380" s="100">
        <f t="shared" si="11"/>
        <v>0.25</v>
      </c>
      <c r="J380" s="97">
        <f>Table1[[#This Row],[ÅR]]</f>
        <v>2013</v>
      </c>
      <c r="K380" s="97">
        <v>1996</v>
      </c>
      <c r="L380" s="97">
        <f>Table1[[#This Row],[ÅR]]-Table1[[#This Row],[FÖDD]]</f>
        <v>17</v>
      </c>
      <c r="M380" s="97">
        <v>4</v>
      </c>
      <c r="N380" s="97">
        <f>SUMIF(B:B,Table1[[#This Row],[Namn]],C:C)</f>
        <v>44</v>
      </c>
      <c r="O380" s="97">
        <f>COUNTIF(B:B,Table1[[#This Row],[Namn]])</f>
        <v>5</v>
      </c>
      <c r="P380" s="97">
        <f>SUMIF(B:B,Table1[[#This Row],[Namn]],G:G)</f>
        <v>4</v>
      </c>
      <c r="Q380" s="97">
        <f>SUMIF(B:B,Table1[[#This Row],[Namn]],E:E)</f>
        <v>0</v>
      </c>
      <c r="R380" s="97">
        <f>SUMIF(B:B,Table1[[#This Row],[Namn]],F:F)</f>
        <v>0</v>
      </c>
    </row>
    <row r="381" spans="1:18" x14ac:dyDescent="0.25">
      <c r="A381" s="97">
        <v>2013</v>
      </c>
      <c r="B381" s="98" t="s">
        <v>169</v>
      </c>
      <c r="C381" s="97">
        <v>8</v>
      </c>
      <c r="D381" s="99">
        <f>IFERROR(Table1[[#This Row],[MAT]]/Table1[[#This Row],[LAG MATCH]],"")</f>
        <v>0.5714285714285714</v>
      </c>
      <c r="E381" s="97">
        <v>0</v>
      </c>
      <c r="F381" s="97">
        <v>0</v>
      </c>
      <c r="G381" s="97">
        <v>1</v>
      </c>
      <c r="H381" s="97">
        <v>14</v>
      </c>
      <c r="I381" s="100">
        <f t="shared" si="11"/>
        <v>0.125</v>
      </c>
      <c r="J381" s="97">
        <f>Table1[[#This Row],[ÅR]]</f>
        <v>2013</v>
      </c>
      <c r="K381" s="97">
        <v>1996</v>
      </c>
      <c r="L381" s="97">
        <f>Table1[[#This Row],[ÅR]]-Table1[[#This Row],[FÖDD]]</f>
        <v>17</v>
      </c>
      <c r="M381" s="97">
        <v>4</v>
      </c>
      <c r="N381" s="97">
        <f>SUMIF(B:B,Table1[[#This Row],[Namn]],C:C)</f>
        <v>28</v>
      </c>
      <c r="O381" s="97">
        <f>COUNTIF(B:B,Table1[[#This Row],[Namn]])</f>
        <v>3</v>
      </c>
      <c r="P381" s="97">
        <f>SUMIF(B:B,Table1[[#This Row],[Namn]],G:G)</f>
        <v>9</v>
      </c>
      <c r="Q381" s="97">
        <f>SUMIF(B:B,Table1[[#This Row],[Namn]],E:E)</f>
        <v>0</v>
      </c>
      <c r="R381" s="97">
        <f>SUMIF(B:B,Table1[[#This Row],[Namn]],F:F)</f>
        <v>0</v>
      </c>
    </row>
    <row r="382" spans="1:18" x14ac:dyDescent="0.25">
      <c r="A382" s="97">
        <v>2013</v>
      </c>
      <c r="B382" s="98" t="s">
        <v>176</v>
      </c>
      <c r="C382" s="97">
        <v>7</v>
      </c>
      <c r="D382" s="99">
        <f>IFERROR(Table1[[#This Row],[MAT]]/Table1[[#This Row],[LAG MATCH]],"")</f>
        <v>0.5</v>
      </c>
      <c r="E382" s="97">
        <v>0</v>
      </c>
      <c r="F382" s="97">
        <v>0</v>
      </c>
      <c r="G382" s="97">
        <v>2</v>
      </c>
      <c r="H382" s="97">
        <v>14</v>
      </c>
      <c r="I382" s="100">
        <f t="shared" si="11"/>
        <v>0.2857142857142857</v>
      </c>
      <c r="J382" s="97">
        <f>Table1[[#This Row],[ÅR]]</f>
        <v>2013</v>
      </c>
      <c r="K382" s="97">
        <v>1997</v>
      </c>
      <c r="L382" s="97">
        <f>Table1[[#This Row],[ÅR]]-Table1[[#This Row],[FÖDD]]</f>
        <v>16</v>
      </c>
      <c r="M382" s="97">
        <v>4</v>
      </c>
      <c r="N382" s="97">
        <f>SUMIF(B:B,Table1[[#This Row],[Namn]],C:C)</f>
        <v>22</v>
      </c>
      <c r="O382" s="97">
        <f>COUNTIF(B:B,Table1[[#This Row],[Namn]])</f>
        <v>2</v>
      </c>
      <c r="P382" s="97">
        <f>SUMIF(B:B,Table1[[#This Row],[Namn]],G:G)</f>
        <v>4</v>
      </c>
      <c r="Q382" s="97">
        <f>SUMIF(B:B,Table1[[#This Row],[Namn]],E:E)</f>
        <v>1</v>
      </c>
      <c r="R382" s="97">
        <f>SUMIF(B:B,Table1[[#This Row],[Namn]],F:F)</f>
        <v>0</v>
      </c>
    </row>
    <row r="383" spans="1:18" x14ac:dyDescent="0.25">
      <c r="A383" s="97">
        <v>2013</v>
      </c>
      <c r="B383" s="98" t="s">
        <v>164</v>
      </c>
      <c r="C383" s="97">
        <v>7</v>
      </c>
      <c r="D383" s="99">
        <f>IFERROR(Table1[[#This Row],[MAT]]/Table1[[#This Row],[LAG MATCH]],"")</f>
        <v>0.5</v>
      </c>
      <c r="E383" s="97">
        <v>0</v>
      </c>
      <c r="F383" s="97">
        <v>0</v>
      </c>
      <c r="G383" s="97">
        <v>0</v>
      </c>
      <c r="H383" s="97">
        <v>14</v>
      </c>
      <c r="I383" s="100">
        <f t="shared" si="11"/>
        <v>0</v>
      </c>
      <c r="J383" s="97">
        <f>Table1[[#This Row],[ÅR]]</f>
        <v>2013</v>
      </c>
      <c r="K383" s="97">
        <v>1998</v>
      </c>
      <c r="L383" s="97">
        <f>Table1[[#This Row],[ÅR]]-Table1[[#This Row],[FÖDD]]</f>
        <v>15</v>
      </c>
      <c r="M383" s="97">
        <v>4</v>
      </c>
      <c r="N383" s="97">
        <f>SUMIF(B:B,Table1[[#This Row],[Namn]],C:C)</f>
        <v>11</v>
      </c>
      <c r="O383" s="97">
        <f>COUNTIF(B:B,Table1[[#This Row],[Namn]])</f>
        <v>3</v>
      </c>
      <c r="P383" s="97">
        <f>SUMIF(B:B,Table1[[#This Row],[Namn]],G:G)</f>
        <v>0</v>
      </c>
      <c r="Q383" s="97">
        <f>SUMIF(B:B,Table1[[#This Row],[Namn]],E:E)</f>
        <v>0</v>
      </c>
      <c r="R383" s="97">
        <f>SUMIF(B:B,Table1[[#This Row],[Namn]],F:F)</f>
        <v>0</v>
      </c>
    </row>
    <row r="384" spans="1:18" x14ac:dyDescent="0.25">
      <c r="A384" s="97">
        <v>2013</v>
      </c>
      <c r="B384" s="98" t="s">
        <v>177</v>
      </c>
      <c r="C384" s="97">
        <v>7</v>
      </c>
      <c r="D384" s="99">
        <f>IFERROR(Table1[[#This Row],[MAT]]/Table1[[#This Row],[LAG MATCH]],"")</f>
        <v>0.5</v>
      </c>
      <c r="E384" s="97">
        <v>0</v>
      </c>
      <c r="F384" s="97">
        <v>0</v>
      </c>
      <c r="G384" s="97">
        <v>0</v>
      </c>
      <c r="H384" s="97">
        <v>14</v>
      </c>
      <c r="I384" s="100">
        <f t="shared" si="11"/>
        <v>0</v>
      </c>
      <c r="J384" s="97">
        <f>Table1[[#This Row],[ÅR]]</f>
        <v>2013</v>
      </c>
      <c r="K384" s="97">
        <v>1996</v>
      </c>
      <c r="L384" s="97">
        <f>Table1[[#This Row],[ÅR]]-Table1[[#This Row],[FÖDD]]</f>
        <v>17</v>
      </c>
      <c r="M384" s="97">
        <v>4</v>
      </c>
      <c r="N384" s="97">
        <f>SUMIF(B:B,Table1[[#This Row],[Namn]],C:C)</f>
        <v>22</v>
      </c>
      <c r="O384" s="97">
        <f>COUNTIF(B:B,Table1[[#This Row],[Namn]])</f>
        <v>2</v>
      </c>
      <c r="P384" s="97">
        <f>SUMIF(B:B,Table1[[#This Row],[Namn]],G:G)</f>
        <v>1</v>
      </c>
      <c r="Q384" s="97">
        <f>SUMIF(B:B,Table1[[#This Row],[Namn]],E:E)</f>
        <v>0</v>
      </c>
      <c r="R384" s="97">
        <f>SUMIF(B:B,Table1[[#This Row],[Namn]],F:F)</f>
        <v>0</v>
      </c>
    </row>
    <row r="385" spans="1:18" x14ac:dyDescent="0.25">
      <c r="A385" s="97">
        <v>2013</v>
      </c>
      <c r="B385" s="98" t="s">
        <v>161</v>
      </c>
      <c r="C385" s="97">
        <v>6</v>
      </c>
      <c r="D385" s="99">
        <f>IFERROR(Table1[[#This Row],[MAT]]/Table1[[#This Row],[LAG MATCH]],"")</f>
        <v>0.42857142857142855</v>
      </c>
      <c r="E385" s="97">
        <v>0</v>
      </c>
      <c r="F385" s="97">
        <v>0</v>
      </c>
      <c r="G385" s="97">
        <v>0</v>
      </c>
      <c r="H385" s="97">
        <v>14</v>
      </c>
      <c r="I385" s="100">
        <f t="shared" si="11"/>
        <v>0</v>
      </c>
      <c r="J385" s="97">
        <f>Table1[[#This Row],[ÅR]]</f>
        <v>2013</v>
      </c>
      <c r="K385" s="97">
        <v>1998</v>
      </c>
      <c r="L385" s="97">
        <f>Table1[[#This Row],[ÅR]]-Table1[[#This Row],[FÖDD]]</f>
        <v>15</v>
      </c>
      <c r="M385" s="97">
        <v>4</v>
      </c>
      <c r="N385" s="97">
        <f>SUMIF(B:B,Table1[[#This Row],[Namn]],C:C)</f>
        <v>19</v>
      </c>
      <c r="O385" s="97">
        <f>COUNTIF(B:B,Table1[[#This Row],[Namn]])</f>
        <v>3</v>
      </c>
      <c r="P385" s="97">
        <f>SUMIF(B:B,Table1[[#This Row],[Namn]],G:G)</f>
        <v>0</v>
      </c>
      <c r="Q385" s="97">
        <f>SUMIF(B:B,Table1[[#This Row],[Namn]],E:E)</f>
        <v>0</v>
      </c>
      <c r="R385" s="97">
        <f>SUMIF(B:B,Table1[[#This Row],[Namn]],F:F)</f>
        <v>0</v>
      </c>
    </row>
    <row r="386" spans="1:18" x14ac:dyDescent="0.25">
      <c r="A386" s="97">
        <v>2013</v>
      </c>
      <c r="B386" s="98" t="s">
        <v>173</v>
      </c>
      <c r="C386" s="97">
        <v>5</v>
      </c>
      <c r="D386" s="99">
        <f>IFERROR(Table1[[#This Row],[MAT]]/Table1[[#This Row],[LAG MATCH]],"")</f>
        <v>0.35714285714285715</v>
      </c>
      <c r="E386" s="97">
        <v>0</v>
      </c>
      <c r="F386" s="97">
        <v>0</v>
      </c>
      <c r="G386" s="97">
        <v>0</v>
      </c>
      <c r="H386" s="97">
        <v>14</v>
      </c>
      <c r="I386" s="100">
        <f t="shared" si="11"/>
        <v>0</v>
      </c>
      <c r="J386" s="97">
        <f>Table1[[#This Row],[ÅR]]</f>
        <v>2013</v>
      </c>
      <c r="K386" s="97">
        <v>1999</v>
      </c>
      <c r="L386" s="97">
        <f>Table1[[#This Row],[ÅR]]-Table1[[#This Row],[FÖDD]]</f>
        <v>14</v>
      </c>
      <c r="M386" s="97">
        <v>4</v>
      </c>
      <c r="N386" s="97">
        <f>SUMIF(B:B,Table1[[#This Row],[Namn]],C:C)</f>
        <v>10</v>
      </c>
      <c r="O386" s="97">
        <f>COUNTIF(B:B,Table1[[#This Row],[Namn]])</f>
        <v>2</v>
      </c>
      <c r="P386" s="97">
        <f>SUMIF(B:B,Table1[[#This Row],[Namn]],G:G)</f>
        <v>1</v>
      </c>
      <c r="Q386" s="97">
        <f>SUMIF(B:B,Table1[[#This Row],[Namn]],E:E)</f>
        <v>0</v>
      </c>
      <c r="R386" s="97">
        <f>SUMIF(B:B,Table1[[#This Row],[Namn]],F:F)</f>
        <v>0</v>
      </c>
    </row>
    <row r="387" spans="1:18" x14ac:dyDescent="0.25">
      <c r="A387" s="97">
        <v>2013</v>
      </c>
      <c r="B387" s="98" t="s">
        <v>170</v>
      </c>
      <c r="C387" s="97">
        <v>5</v>
      </c>
      <c r="D387" s="99">
        <f>IFERROR(Table1[[#This Row],[MAT]]/Table1[[#This Row],[LAG MATCH]],"")</f>
        <v>0.35714285714285715</v>
      </c>
      <c r="E387" s="97">
        <v>0</v>
      </c>
      <c r="F387" s="97">
        <v>0</v>
      </c>
      <c r="G387" s="97">
        <v>0</v>
      </c>
      <c r="H387" s="97">
        <v>14</v>
      </c>
      <c r="I387" s="100">
        <f t="shared" si="11"/>
        <v>0</v>
      </c>
      <c r="J387" s="97">
        <f>Table1[[#This Row],[ÅR]]</f>
        <v>2013</v>
      </c>
      <c r="K387" s="97">
        <v>1990</v>
      </c>
      <c r="L387" s="97">
        <f>Table1[[#This Row],[ÅR]]-Table1[[#This Row],[FÖDD]]</f>
        <v>23</v>
      </c>
      <c r="M387" s="97">
        <v>4</v>
      </c>
      <c r="N387" s="97">
        <f>SUMIF(B:B,Table1[[#This Row],[Namn]],C:C)</f>
        <v>35</v>
      </c>
      <c r="O387" s="97">
        <f>COUNTIF(B:B,Table1[[#This Row],[Namn]])</f>
        <v>4</v>
      </c>
      <c r="P387" s="97">
        <f>SUMIF(B:B,Table1[[#This Row],[Namn]],G:G)</f>
        <v>1</v>
      </c>
      <c r="Q387" s="97">
        <f>SUMIF(B:B,Table1[[#This Row],[Namn]],E:E)</f>
        <v>0</v>
      </c>
      <c r="R387" s="97">
        <f>SUMIF(B:B,Table1[[#This Row],[Namn]],F:F)</f>
        <v>0</v>
      </c>
    </row>
    <row r="388" spans="1:18" x14ac:dyDescent="0.25">
      <c r="A388" s="97">
        <v>2013</v>
      </c>
      <c r="B388" s="98" t="s">
        <v>135</v>
      </c>
      <c r="C388" s="97">
        <v>4</v>
      </c>
      <c r="D388" s="99">
        <f>IFERROR(Table1[[#This Row],[MAT]]/Table1[[#This Row],[LAG MATCH]],"")</f>
        <v>0.2857142857142857</v>
      </c>
      <c r="E388" s="97">
        <v>0</v>
      </c>
      <c r="F388" s="97">
        <v>0</v>
      </c>
      <c r="G388" s="97">
        <v>0</v>
      </c>
      <c r="H388" s="97">
        <v>14</v>
      </c>
      <c r="I388" s="100">
        <f t="shared" si="11"/>
        <v>0</v>
      </c>
      <c r="J388" s="97">
        <f>Table1[[#This Row],[ÅR]]</f>
        <v>2013</v>
      </c>
      <c r="K388" s="97">
        <v>1996</v>
      </c>
      <c r="L388" s="97">
        <f>Table1[[#This Row],[ÅR]]-Table1[[#This Row],[FÖDD]]</f>
        <v>17</v>
      </c>
      <c r="M388" s="97">
        <v>4</v>
      </c>
      <c r="N388" s="97">
        <f>SUMIF(B:B,Table1[[#This Row],[Namn]],C:C)</f>
        <v>60</v>
      </c>
      <c r="O388" s="97">
        <f>COUNTIF(B:B,Table1[[#This Row],[Namn]])</f>
        <v>7</v>
      </c>
      <c r="P388" s="97">
        <f>SUMIF(B:B,Table1[[#This Row],[Namn]],G:G)</f>
        <v>6</v>
      </c>
      <c r="Q388" s="97">
        <f>SUMIF(B:B,Table1[[#This Row],[Namn]],E:E)</f>
        <v>3</v>
      </c>
      <c r="R388" s="97">
        <f>SUMIF(B:B,Table1[[#This Row],[Namn]],F:F)</f>
        <v>0</v>
      </c>
    </row>
    <row r="389" spans="1:18" x14ac:dyDescent="0.25">
      <c r="A389" s="97">
        <v>2013</v>
      </c>
      <c r="B389" s="98" t="s">
        <v>153</v>
      </c>
      <c r="C389" s="97">
        <v>3</v>
      </c>
      <c r="D389" s="99">
        <f>IFERROR(Table1[[#This Row],[MAT]]/Table1[[#This Row],[LAG MATCH]],"")</f>
        <v>0.21428571428571427</v>
      </c>
      <c r="E389" s="97">
        <v>0</v>
      </c>
      <c r="F389" s="97">
        <v>0</v>
      </c>
      <c r="G389" s="97">
        <v>1</v>
      </c>
      <c r="H389" s="97">
        <v>14</v>
      </c>
      <c r="I389" s="100">
        <f t="shared" si="11"/>
        <v>0.33333333333333331</v>
      </c>
      <c r="J389" s="97">
        <f>Table1[[#This Row],[ÅR]]</f>
        <v>2013</v>
      </c>
      <c r="K389" s="97">
        <v>1992</v>
      </c>
      <c r="L389" s="97">
        <f>Table1[[#This Row],[ÅR]]-Table1[[#This Row],[FÖDD]]</f>
        <v>21</v>
      </c>
      <c r="M389" s="97">
        <v>4</v>
      </c>
      <c r="N389" s="97">
        <f>SUMIF(B:B,Table1[[#This Row],[Namn]],C:C)</f>
        <v>39</v>
      </c>
      <c r="O389" s="97">
        <f>COUNTIF(B:B,Table1[[#This Row],[Namn]])</f>
        <v>5</v>
      </c>
      <c r="P389" s="97">
        <f>SUMIF(B:B,Table1[[#This Row],[Namn]],G:G)</f>
        <v>11</v>
      </c>
      <c r="Q389" s="97">
        <f>SUMIF(B:B,Table1[[#This Row],[Namn]],E:E)</f>
        <v>3</v>
      </c>
      <c r="R389" s="97">
        <f>SUMIF(B:B,Table1[[#This Row],[Namn]],F:F)</f>
        <v>0</v>
      </c>
    </row>
    <row r="390" spans="1:18" x14ac:dyDescent="0.25">
      <c r="A390" s="97">
        <v>2013</v>
      </c>
      <c r="B390" s="98" t="s">
        <v>178</v>
      </c>
      <c r="C390" s="97">
        <v>3</v>
      </c>
      <c r="D390" s="99">
        <f>IFERROR(Table1[[#This Row],[MAT]]/Table1[[#This Row],[LAG MATCH]],"")</f>
        <v>0.21428571428571427</v>
      </c>
      <c r="E390" s="97">
        <v>0</v>
      </c>
      <c r="F390" s="97">
        <v>0</v>
      </c>
      <c r="G390" s="97">
        <v>0</v>
      </c>
      <c r="H390" s="97">
        <v>14</v>
      </c>
      <c r="I390" s="100">
        <f t="shared" si="11"/>
        <v>0</v>
      </c>
      <c r="J390" s="97">
        <f>Table1[[#This Row],[ÅR]]</f>
        <v>2013</v>
      </c>
      <c r="K390" s="97">
        <v>1999</v>
      </c>
      <c r="L390" s="97">
        <f>Table1[[#This Row],[ÅR]]-Table1[[#This Row],[FÖDD]]</f>
        <v>14</v>
      </c>
      <c r="M390" s="97">
        <v>4</v>
      </c>
      <c r="N390" s="97">
        <f>SUMIF(B:B,Table1[[#This Row],[Namn]],C:C)</f>
        <v>3</v>
      </c>
      <c r="O390" s="97">
        <f>COUNTIF(B:B,Table1[[#This Row],[Namn]])</f>
        <v>1</v>
      </c>
      <c r="P390" s="97">
        <f>SUMIF(B:B,Table1[[#This Row],[Namn]],G:G)</f>
        <v>0</v>
      </c>
      <c r="Q390" s="97">
        <f>SUMIF(B:B,Table1[[#This Row],[Namn]],E:E)</f>
        <v>0</v>
      </c>
      <c r="R390" s="97">
        <f>SUMIF(B:B,Table1[[#This Row],[Namn]],F:F)</f>
        <v>0</v>
      </c>
    </row>
    <row r="391" spans="1:18" x14ac:dyDescent="0.25">
      <c r="A391" s="97">
        <v>2013</v>
      </c>
      <c r="B391" s="98" t="s">
        <v>179</v>
      </c>
      <c r="C391" s="97">
        <v>3</v>
      </c>
      <c r="D391" s="99">
        <f>IFERROR(Table1[[#This Row],[MAT]]/Table1[[#This Row],[LAG MATCH]],"")</f>
        <v>0.21428571428571427</v>
      </c>
      <c r="E391" s="97">
        <v>0</v>
      </c>
      <c r="F391" s="97">
        <v>0</v>
      </c>
      <c r="G391" s="97">
        <v>0</v>
      </c>
      <c r="H391" s="97">
        <v>14</v>
      </c>
      <c r="I391" s="100">
        <f t="shared" si="11"/>
        <v>0</v>
      </c>
      <c r="J391" s="97">
        <f>Table1[[#This Row],[ÅR]]</f>
        <v>2013</v>
      </c>
      <c r="K391" s="97">
        <v>1996</v>
      </c>
      <c r="L391" s="97">
        <f>Table1[[#This Row],[ÅR]]-Table1[[#This Row],[FÖDD]]</f>
        <v>17</v>
      </c>
      <c r="M391" s="97">
        <v>4</v>
      </c>
      <c r="N391" s="97">
        <f>SUMIF(B:B,Table1[[#This Row],[Namn]],C:C)</f>
        <v>3</v>
      </c>
      <c r="O391" s="97">
        <f>COUNTIF(B:B,Table1[[#This Row],[Namn]])</f>
        <v>1</v>
      </c>
      <c r="P391" s="97">
        <f>SUMIF(B:B,Table1[[#This Row],[Namn]],G:G)</f>
        <v>0</v>
      </c>
      <c r="Q391" s="97">
        <f>SUMIF(B:B,Table1[[#This Row],[Namn]],E:E)</f>
        <v>0</v>
      </c>
      <c r="R391" s="97">
        <f>SUMIF(B:B,Table1[[#This Row],[Namn]],F:F)</f>
        <v>0</v>
      </c>
    </row>
    <row r="392" spans="1:18" x14ac:dyDescent="0.25">
      <c r="A392" s="97">
        <v>2013</v>
      </c>
      <c r="B392" s="98" t="s">
        <v>150</v>
      </c>
      <c r="C392" s="97">
        <v>1</v>
      </c>
      <c r="D392" s="99">
        <f>IFERROR(Table1[[#This Row],[MAT]]/Table1[[#This Row],[LAG MATCH]],"")</f>
        <v>7.1428571428571425E-2</v>
      </c>
      <c r="E392" s="97">
        <v>0</v>
      </c>
      <c r="F392" s="97">
        <v>0</v>
      </c>
      <c r="G392" s="97">
        <v>0</v>
      </c>
      <c r="H392" s="97">
        <v>14</v>
      </c>
      <c r="I392" s="100">
        <f t="shared" si="11"/>
        <v>0</v>
      </c>
      <c r="J392" s="97">
        <f>Table1[[#This Row],[ÅR]]</f>
        <v>2013</v>
      </c>
      <c r="K392" s="97">
        <v>1999</v>
      </c>
      <c r="L392" s="97">
        <f>Table1[[#This Row],[ÅR]]-Table1[[#This Row],[FÖDD]]</f>
        <v>14</v>
      </c>
      <c r="M392" s="97">
        <v>4</v>
      </c>
      <c r="N392" s="97">
        <f>SUMIF(B:B,Table1[[#This Row],[Namn]],C:C)</f>
        <v>19</v>
      </c>
      <c r="O392" s="97">
        <f>COUNTIF(B:B,Table1[[#This Row],[Namn]])</f>
        <v>3</v>
      </c>
      <c r="P392" s="97">
        <f>SUMIF(B:B,Table1[[#This Row],[Namn]],G:G)</f>
        <v>0</v>
      </c>
      <c r="Q392" s="97">
        <f>SUMIF(B:B,Table1[[#This Row],[Namn]],E:E)</f>
        <v>0</v>
      </c>
      <c r="R392" s="97">
        <f>SUMIF(B:B,Table1[[#This Row],[Namn]],F:F)</f>
        <v>0</v>
      </c>
    </row>
    <row r="393" spans="1:18" x14ac:dyDescent="0.25">
      <c r="A393" s="97">
        <v>2013</v>
      </c>
      <c r="B393" s="98" t="s">
        <v>156</v>
      </c>
      <c r="C393" s="97">
        <v>1</v>
      </c>
      <c r="D393" s="99">
        <f>IFERROR(Table1[[#This Row],[MAT]]/Table1[[#This Row],[LAG MATCH]],"")</f>
        <v>7.1428571428571425E-2</v>
      </c>
      <c r="E393" s="97">
        <v>0</v>
      </c>
      <c r="F393" s="97">
        <v>0</v>
      </c>
      <c r="G393" s="97">
        <v>0</v>
      </c>
      <c r="H393" s="97">
        <v>14</v>
      </c>
      <c r="I393" s="100">
        <f t="shared" si="11"/>
        <v>0</v>
      </c>
      <c r="J393" s="97">
        <f>Table1[[#This Row],[ÅR]]</f>
        <v>2013</v>
      </c>
      <c r="K393" s="97">
        <v>1999</v>
      </c>
      <c r="L393" s="97">
        <f>Table1[[#This Row],[ÅR]]-Table1[[#This Row],[FÖDD]]</f>
        <v>14</v>
      </c>
      <c r="M393" s="97">
        <v>4</v>
      </c>
      <c r="N393" s="97">
        <f>SUMIF(B:B,Table1[[#This Row],[Namn]],C:C)</f>
        <v>9</v>
      </c>
      <c r="O393" s="97">
        <f>COUNTIF(B:B,Table1[[#This Row],[Namn]])</f>
        <v>3</v>
      </c>
      <c r="P393" s="97">
        <f>SUMIF(B:B,Table1[[#This Row],[Namn]],G:G)</f>
        <v>0</v>
      </c>
      <c r="Q393" s="97">
        <f>SUMIF(B:B,Table1[[#This Row],[Namn]],E:E)</f>
        <v>0</v>
      </c>
      <c r="R393" s="97">
        <f>SUMIF(B:B,Table1[[#This Row],[Namn]],F:F)</f>
        <v>0</v>
      </c>
    </row>
    <row r="394" spans="1:18" x14ac:dyDescent="0.25">
      <c r="A394" s="97">
        <v>2013</v>
      </c>
      <c r="B394" s="98" t="s">
        <v>180</v>
      </c>
      <c r="C394" s="97">
        <v>1</v>
      </c>
      <c r="D394" s="99">
        <f>IFERROR(Table1[[#This Row],[MAT]]/Table1[[#This Row],[LAG MATCH]],"")</f>
        <v>7.1428571428571425E-2</v>
      </c>
      <c r="E394" s="97">
        <v>0</v>
      </c>
      <c r="F394" s="97">
        <v>0</v>
      </c>
      <c r="G394" s="97">
        <v>0</v>
      </c>
      <c r="H394" s="97">
        <v>14</v>
      </c>
      <c r="I394" s="100">
        <f t="shared" si="11"/>
        <v>0</v>
      </c>
      <c r="J394" s="97">
        <f>Table1[[#This Row],[ÅR]]</f>
        <v>2013</v>
      </c>
      <c r="K394" s="97">
        <v>1999</v>
      </c>
      <c r="L394" s="97">
        <f>Table1[[#This Row],[ÅR]]-Table1[[#This Row],[FÖDD]]</f>
        <v>14</v>
      </c>
      <c r="M394" s="97">
        <v>4</v>
      </c>
      <c r="N394" s="97">
        <f>SUMIF(B:B,Table1[[#This Row],[Namn]],C:C)</f>
        <v>2</v>
      </c>
      <c r="O394" s="97">
        <f>COUNTIF(B:B,Table1[[#This Row],[Namn]])</f>
        <v>2</v>
      </c>
      <c r="P394" s="97">
        <f>SUMIF(B:B,Table1[[#This Row],[Namn]],G:G)</f>
        <v>0</v>
      </c>
      <c r="Q394" s="97">
        <f>SUMIF(B:B,Table1[[#This Row],[Namn]],E:E)</f>
        <v>0</v>
      </c>
      <c r="R394" s="97">
        <f>SUMIF(B:B,Table1[[#This Row],[Namn]],F:F)</f>
        <v>0</v>
      </c>
    </row>
    <row r="395" spans="1:18" x14ac:dyDescent="0.25">
      <c r="A395" s="97">
        <v>2012</v>
      </c>
      <c r="B395" s="98" t="s">
        <v>133</v>
      </c>
      <c r="C395" s="97">
        <v>18</v>
      </c>
      <c r="D395" s="99">
        <f>IFERROR(Table1[[#This Row],[MAT]]/Table1[[#This Row],[LAG MATCH]],"")</f>
        <v>1</v>
      </c>
      <c r="E395" s="97">
        <v>0</v>
      </c>
      <c r="F395" s="97">
        <v>0</v>
      </c>
      <c r="G395" s="97">
        <v>4</v>
      </c>
      <c r="H395" s="97">
        <v>18</v>
      </c>
      <c r="I395" s="100">
        <f t="shared" si="11"/>
        <v>0.22222222222222221</v>
      </c>
      <c r="J395" s="97">
        <f>Table1[[#This Row],[ÅR]]</f>
        <v>2012</v>
      </c>
      <c r="K395" s="97">
        <v>1996</v>
      </c>
      <c r="L395" s="97">
        <f>Table1[[#This Row],[ÅR]]-Table1[[#This Row],[FÖDD]]</f>
        <v>16</v>
      </c>
      <c r="M395" s="97">
        <v>4</v>
      </c>
      <c r="N395" s="97">
        <f>SUMIF(B:B,Table1[[#This Row],[Namn]],C:C)</f>
        <v>83</v>
      </c>
      <c r="O395" s="97">
        <f>COUNTIF(B:B,Table1[[#This Row],[Namn]])</f>
        <v>5</v>
      </c>
      <c r="P395" s="97">
        <f>SUMIF(B:B,Table1[[#This Row],[Namn]],G:G)</f>
        <v>119</v>
      </c>
      <c r="Q395" s="97">
        <f>SUMIF(B:B,Table1[[#This Row],[Namn]],E:E)</f>
        <v>0</v>
      </c>
      <c r="R395" s="97">
        <f>SUMIF(B:B,Table1[[#This Row],[Namn]],F:F)</f>
        <v>0</v>
      </c>
    </row>
    <row r="396" spans="1:18" x14ac:dyDescent="0.25">
      <c r="A396" s="97">
        <v>2012</v>
      </c>
      <c r="B396" s="98" t="s">
        <v>135</v>
      </c>
      <c r="C396" s="97">
        <v>18</v>
      </c>
      <c r="D396" s="99">
        <f>IFERROR(Table1[[#This Row],[MAT]]/Table1[[#This Row],[LAG MATCH]],"")</f>
        <v>1</v>
      </c>
      <c r="E396" s="97">
        <v>1</v>
      </c>
      <c r="F396" s="97">
        <v>0</v>
      </c>
      <c r="G396" s="97">
        <v>0</v>
      </c>
      <c r="H396" s="97">
        <v>18</v>
      </c>
      <c r="I396" s="100">
        <f t="shared" si="11"/>
        <v>0</v>
      </c>
      <c r="J396" s="97">
        <f>Table1[[#This Row],[ÅR]]</f>
        <v>2012</v>
      </c>
      <c r="K396" s="97">
        <v>1996</v>
      </c>
      <c r="L396" s="97">
        <f>Table1[[#This Row],[ÅR]]-Table1[[#This Row],[FÖDD]]</f>
        <v>16</v>
      </c>
      <c r="M396" s="97">
        <v>4</v>
      </c>
      <c r="N396" s="97">
        <f>SUMIF(B:B,Table1[[#This Row],[Namn]],C:C)</f>
        <v>60</v>
      </c>
      <c r="O396" s="97">
        <f>COUNTIF(B:B,Table1[[#This Row],[Namn]])</f>
        <v>7</v>
      </c>
      <c r="P396" s="97">
        <f>SUMIF(B:B,Table1[[#This Row],[Namn]],G:G)</f>
        <v>6</v>
      </c>
      <c r="Q396" s="97">
        <f>SUMIF(B:B,Table1[[#This Row],[Namn]],E:E)</f>
        <v>3</v>
      </c>
      <c r="R396" s="97">
        <f>SUMIF(B:B,Table1[[#This Row],[Namn]],F:F)</f>
        <v>0</v>
      </c>
    </row>
    <row r="397" spans="1:18" x14ac:dyDescent="0.25">
      <c r="A397" s="97">
        <v>2012</v>
      </c>
      <c r="B397" s="98" t="s">
        <v>168</v>
      </c>
      <c r="C397" s="97">
        <v>18</v>
      </c>
      <c r="D397" s="99">
        <f>IFERROR(Table1[[#This Row],[MAT]]/Table1[[#This Row],[LAG MATCH]],"")</f>
        <v>1</v>
      </c>
      <c r="E397" s="97">
        <v>1</v>
      </c>
      <c r="F397" s="97">
        <v>0</v>
      </c>
      <c r="G397" s="97">
        <v>0</v>
      </c>
      <c r="H397" s="97">
        <v>18</v>
      </c>
      <c r="I397" s="100">
        <f t="shared" si="11"/>
        <v>0</v>
      </c>
      <c r="J397" s="97">
        <f>Table1[[#This Row],[ÅR]]</f>
        <v>2012</v>
      </c>
      <c r="K397" s="97">
        <v>1969</v>
      </c>
      <c r="L397" s="97">
        <f>Table1[[#This Row],[ÅR]]-Table1[[#This Row],[FÖDD]]</f>
        <v>43</v>
      </c>
      <c r="M397" s="97">
        <v>4</v>
      </c>
      <c r="N397" s="97">
        <f>SUMIF(B:B,Table1[[#This Row],[Namn]],C:C)</f>
        <v>49</v>
      </c>
      <c r="O397" s="97">
        <f>COUNTIF(B:B,Table1[[#This Row],[Namn]])</f>
        <v>4</v>
      </c>
      <c r="P397" s="97">
        <f>SUMIF(B:B,Table1[[#This Row],[Namn]],G:G)</f>
        <v>0</v>
      </c>
      <c r="Q397" s="97">
        <f>SUMIF(B:B,Table1[[#This Row],[Namn]],E:E)</f>
        <v>2</v>
      </c>
      <c r="R397" s="97">
        <f>SUMIF(B:B,Table1[[#This Row],[Namn]],F:F)</f>
        <v>0</v>
      </c>
    </row>
    <row r="398" spans="1:18" x14ac:dyDescent="0.25">
      <c r="A398" s="97">
        <v>2012</v>
      </c>
      <c r="B398" s="98" t="s">
        <v>170</v>
      </c>
      <c r="C398" s="97">
        <v>18</v>
      </c>
      <c r="D398" s="99">
        <f>IFERROR(Table1[[#This Row],[MAT]]/Table1[[#This Row],[LAG MATCH]],"")</f>
        <v>1</v>
      </c>
      <c r="E398" s="97">
        <v>0</v>
      </c>
      <c r="F398" s="97">
        <v>0</v>
      </c>
      <c r="G398" s="97">
        <v>0</v>
      </c>
      <c r="H398" s="97">
        <v>18</v>
      </c>
      <c r="I398" s="100">
        <f t="shared" si="11"/>
        <v>0</v>
      </c>
      <c r="J398" s="97">
        <f>Table1[[#This Row],[ÅR]]</f>
        <v>2012</v>
      </c>
      <c r="K398" s="97">
        <v>1990</v>
      </c>
      <c r="L398" s="97">
        <f>Table1[[#This Row],[ÅR]]-Table1[[#This Row],[FÖDD]]</f>
        <v>22</v>
      </c>
      <c r="M398" s="97">
        <v>4</v>
      </c>
      <c r="N398" s="97">
        <f>SUMIF(B:B,Table1[[#This Row],[Namn]],C:C)</f>
        <v>35</v>
      </c>
      <c r="O398" s="97">
        <f>COUNTIF(B:B,Table1[[#This Row],[Namn]])</f>
        <v>4</v>
      </c>
      <c r="P398" s="97">
        <f>SUMIF(B:B,Table1[[#This Row],[Namn]],G:G)</f>
        <v>1</v>
      </c>
      <c r="Q398" s="97">
        <f>SUMIF(B:B,Table1[[#This Row],[Namn]],E:E)</f>
        <v>0</v>
      </c>
      <c r="R398" s="97">
        <f>SUMIF(B:B,Table1[[#This Row],[Namn]],F:F)</f>
        <v>0</v>
      </c>
    </row>
    <row r="399" spans="1:18" x14ac:dyDescent="0.25">
      <c r="A399" s="97">
        <v>2012</v>
      </c>
      <c r="B399" s="98" t="s">
        <v>167</v>
      </c>
      <c r="C399" s="97">
        <v>17</v>
      </c>
      <c r="D399" s="99">
        <f>IFERROR(Table1[[#This Row],[MAT]]/Table1[[#This Row],[LAG MATCH]],"")</f>
        <v>0.94444444444444442</v>
      </c>
      <c r="E399" s="97">
        <v>0</v>
      </c>
      <c r="F399" s="97">
        <v>0</v>
      </c>
      <c r="G399" s="97">
        <v>1</v>
      </c>
      <c r="H399" s="97">
        <v>18</v>
      </c>
      <c r="I399" s="100">
        <f t="shared" si="11"/>
        <v>5.8823529411764705E-2</v>
      </c>
      <c r="J399" s="97">
        <f>Table1[[#This Row],[ÅR]]</f>
        <v>2012</v>
      </c>
      <c r="K399" s="97">
        <v>1996</v>
      </c>
      <c r="L399" s="97">
        <f>Table1[[#This Row],[ÅR]]-Table1[[#This Row],[FÖDD]]</f>
        <v>16</v>
      </c>
      <c r="M399" s="97">
        <v>4</v>
      </c>
      <c r="N399" s="97">
        <f>SUMIF(B:B,Table1[[#This Row],[Namn]],C:C)</f>
        <v>45</v>
      </c>
      <c r="O399" s="97">
        <f>COUNTIF(B:B,Table1[[#This Row],[Namn]])</f>
        <v>3</v>
      </c>
      <c r="P399" s="97">
        <f>SUMIF(B:B,Table1[[#This Row],[Namn]],G:G)</f>
        <v>2</v>
      </c>
      <c r="Q399" s="97">
        <f>SUMIF(B:B,Table1[[#This Row],[Namn]],E:E)</f>
        <v>2</v>
      </c>
      <c r="R399" s="97">
        <f>SUMIF(B:B,Table1[[#This Row],[Namn]],F:F)</f>
        <v>0</v>
      </c>
    </row>
    <row r="400" spans="1:18" x14ac:dyDescent="0.25">
      <c r="A400" s="97">
        <v>2012</v>
      </c>
      <c r="B400" s="98" t="s">
        <v>139</v>
      </c>
      <c r="C400" s="97">
        <v>16</v>
      </c>
      <c r="D400" s="99">
        <f>IFERROR(Table1[[#This Row],[MAT]]/Table1[[#This Row],[LAG MATCH]],"")</f>
        <v>0.88888888888888884</v>
      </c>
      <c r="E400" s="97">
        <v>0</v>
      </c>
      <c r="F400" s="97">
        <v>0</v>
      </c>
      <c r="G400" s="97">
        <v>4</v>
      </c>
      <c r="H400" s="97">
        <v>18</v>
      </c>
      <c r="I400" s="100">
        <f t="shared" si="11"/>
        <v>0.25</v>
      </c>
      <c r="J400" s="97">
        <f>Table1[[#This Row],[ÅR]]</f>
        <v>2012</v>
      </c>
      <c r="K400" s="97">
        <v>1996</v>
      </c>
      <c r="L400" s="97">
        <f>Table1[[#This Row],[ÅR]]-Table1[[#This Row],[FÖDD]]</f>
        <v>16</v>
      </c>
      <c r="M400" s="97">
        <v>4</v>
      </c>
      <c r="N400" s="97">
        <f>SUMIF(B:B,Table1[[#This Row],[Namn]],C:C)</f>
        <v>37</v>
      </c>
      <c r="O400" s="97">
        <f>COUNTIF(B:B,Table1[[#This Row],[Namn]])</f>
        <v>3</v>
      </c>
      <c r="P400" s="97">
        <f>SUMIF(B:B,Table1[[#This Row],[Namn]],G:G)</f>
        <v>14</v>
      </c>
      <c r="Q400" s="97">
        <f>SUMIF(B:B,Table1[[#This Row],[Namn]],E:E)</f>
        <v>0</v>
      </c>
      <c r="R400" s="97">
        <f>SUMIF(B:B,Table1[[#This Row],[Namn]],F:F)</f>
        <v>0</v>
      </c>
    </row>
    <row r="401" spans="1:18" x14ac:dyDescent="0.25">
      <c r="A401" s="97">
        <v>2012</v>
      </c>
      <c r="B401" s="98" t="s">
        <v>101</v>
      </c>
      <c r="C401" s="97">
        <v>16</v>
      </c>
      <c r="D401" s="99">
        <f>IFERROR(Table1[[#This Row],[MAT]]/Table1[[#This Row],[LAG MATCH]],"")</f>
        <v>0.88888888888888884</v>
      </c>
      <c r="E401" s="97">
        <v>1</v>
      </c>
      <c r="F401" s="97">
        <v>0</v>
      </c>
      <c r="G401" s="97">
        <v>0</v>
      </c>
      <c r="H401" s="97">
        <v>18</v>
      </c>
      <c r="I401" s="100">
        <f t="shared" si="11"/>
        <v>0</v>
      </c>
      <c r="J401" s="97">
        <f>Table1[[#This Row],[ÅR]]</f>
        <v>2012</v>
      </c>
      <c r="K401" s="97">
        <v>1996</v>
      </c>
      <c r="L401" s="97">
        <f>Table1[[#This Row],[ÅR]]-Table1[[#This Row],[FÖDD]]</f>
        <v>16</v>
      </c>
      <c r="M401" s="97">
        <v>4</v>
      </c>
      <c r="N401" s="97">
        <f>SUMIF(B:B,Table1[[#This Row],[Namn]],C:C)</f>
        <v>121</v>
      </c>
      <c r="O401" s="97">
        <f>COUNTIF(B:B,Table1[[#This Row],[Namn]])</f>
        <v>9</v>
      </c>
      <c r="P401" s="97">
        <f>SUMIF(B:B,Table1[[#This Row],[Namn]],G:G)</f>
        <v>13</v>
      </c>
      <c r="Q401" s="97">
        <f>SUMIF(B:B,Table1[[#This Row],[Namn]],E:E)</f>
        <v>2</v>
      </c>
      <c r="R401" s="97">
        <f>SUMIF(B:B,Table1[[#This Row],[Namn]],F:F)</f>
        <v>1</v>
      </c>
    </row>
    <row r="402" spans="1:18" x14ac:dyDescent="0.25">
      <c r="A402" s="97">
        <v>2012</v>
      </c>
      <c r="B402" s="98" t="s">
        <v>74</v>
      </c>
      <c r="C402" s="97">
        <v>16</v>
      </c>
      <c r="D402" s="99">
        <f>IFERROR(Table1[[#This Row],[MAT]]/Table1[[#This Row],[LAG MATCH]],"")</f>
        <v>0.88888888888888884</v>
      </c>
      <c r="E402" s="97">
        <v>0</v>
      </c>
      <c r="F402" s="97">
        <v>0</v>
      </c>
      <c r="G402" s="97">
        <v>0</v>
      </c>
      <c r="H402" s="97">
        <v>18</v>
      </c>
      <c r="I402" s="100">
        <f t="shared" si="11"/>
        <v>0</v>
      </c>
      <c r="J402" s="97">
        <f>Table1[[#This Row],[ÅR]]</f>
        <v>2012</v>
      </c>
      <c r="K402" s="97">
        <v>1996</v>
      </c>
      <c r="L402" s="97">
        <f>Table1[[#This Row],[ÅR]]-Table1[[#This Row],[FÖDD]]</f>
        <v>16</v>
      </c>
      <c r="M402" s="97">
        <v>4</v>
      </c>
      <c r="N402" s="97">
        <f>SUMIF(B:B,Table1[[#This Row],[Namn]],C:C)</f>
        <v>200</v>
      </c>
      <c r="O402" s="97">
        <f>COUNTIF(B:B,Table1[[#This Row],[Namn]])</f>
        <v>12</v>
      </c>
      <c r="P402" s="97">
        <f>SUMIF(B:B,Table1[[#This Row],[Namn]],G:G)</f>
        <v>9</v>
      </c>
      <c r="Q402" s="97">
        <f>SUMIF(B:B,Table1[[#This Row],[Namn]],E:E)</f>
        <v>1</v>
      </c>
      <c r="R402" s="97">
        <f>SUMIF(B:B,Table1[[#This Row],[Namn]],F:F)</f>
        <v>0</v>
      </c>
    </row>
    <row r="403" spans="1:18" x14ac:dyDescent="0.25">
      <c r="A403" s="97">
        <v>2012</v>
      </c>
      <c r="B403" s="98" t="s">
        <v>176</v>
      </c>
      <c r="C403" s="97">
        <v>15</v>
      </c>
      <c r="D403" s="99">
        <f>IFERROR(Table1[[#This Row],[MAT]]/Table1[[#This Row],[LAG MATCH]],"")</f>
        <v>0.83333333333333337</v>
      </c>
      <c r="E403" s="97">
        <v>1</v>
      </c>
      <c r="F403" s="97">
        <v>0</v>
      </c>
      <c r="G403" s="97">
        <v>2</v>
      </c>
      <c r="H403" s="97">
        <v>18</v>
      </c>
      <c r="I403" s="100">
        <f t="shared" si="11"/>
        <v>0.13333333333333333</v>
      </c>
      <c r="J403" s="97">
        <f>Table1[[#This Row],[ÅR]]</f>
        <v>2012</v>
      </c>
      <c r="K403" s="97">
        <v>1997</v>
      </c>
      <c r="L403" s="97">
        <f>Table1[[#This Row],[ÅR]]-Table1[[#This Row],[FÖDD]]</f>
        <v>15</v>
      </c>
      <c r="M403" s="97">
        <v>4</v>
      </c>
      <c r="N403" s="97">
        <f>SUMIF(B:B,Table1[[#This Row],[Namn]],C:C)</f>
        <v>22</v>
      </c>
      <c r="O403" s="97">
        <f>COUNTIF(B:B,Table1[[#This Row],[Namn]])</f>
        <v>2</v>
      </c>
      <c r="P403" s="97">
        <f>SUMIF(B:B,Table1[[#This Row],[Namn]],G:G)</f>
        <v>4</v>
      </c>
      <c r="Q403" s="97">
        <f>SUMIF(B:B,Table1[[#This Row],[Namn]],E:E)</f>
        <v>1</v>
      </c>
      <c r="R403" s="97">
        <f>SUMIF(B:B,Table1[[#This Row],[Namn]],F:F)</f>
        <v>0</v>
      </c>
    </row>
    <row r="404" spans="1:18" x14ac:dyDescent="0.25">
      <c r="A404" s="97">
        <v>2012</v>
      </c>
      <c r="B404" s="98" t="s">
        <v>177</v>
      </c>
      <c r="C404" s="97">
        <v>15</v>
      </c>
      <c r="D404" s="99">
        <f>IFERROR(Table1[[#This Row],[MAT]]/Table1[[#This Row],[LAG MATCH]],"")</f>
        <v>0.83333333333333337</v>
      </c>
      <c r="E404" s="97">
        <v>0</v>
      </c>
      <c r="F404" s="97">
        <v>0</v>
      </c>
      <c r="G404" s="97">
        <v>1</v>
      </c>
      <c r="H404" s="97">
        <v>18</v>
      </c>
      <c r="I404" s="100">
        <f t="shared" ref="I404:I463" si="12">IFERROR(G404/C404,"")</f>
        <v>6.6666666666666666E-2</v>
      </c>
      <c r="J404" s="97">
        <f>Table1[[#This Row],[ÅR]]</f>
        <v>2012</v>
      </c>
      <c r="K404" s="97">
        <v>1996</v>
      </c>
      <c r="L404" s="97">
        <f>Table1[[#This Row],[ÅR]]-Table1[[#This Row],[FÖDD]]</f>
        <v>16</v>
      </c>
      <c r="M404" s="97">
        <v>4</v>
      </c>
      <c r="N404" s="97">
        <f>SUMIF(B:B,Table1[[#This Row],[Namn]],C:C)</f>
        <v>22</v>
      </c>
      <c r="O404" s="97">
        <f>COUNTIF(B:B,Table1[[#This Row],[Namn]])</f>
        <v>2</v>
      </c>
      <c r="P404" s="97">
        <f>SUMIF(B:B,Table1[[#This Row],[Namn]],G:G)</f>
        <v>1</v>
      </c>
      <c r="Q404" s="97">
        <f>SUMIF(B:B,Table1[[#This Row],[Namn]],E:E)</f>
        <v>0</v>
      </c>
      <c r="R404" s="97">
        <f>SUMIF(B:B,Table1[[#This Row],[Namn]],F:F)</f>
        <v>0</v>
      </c>
    </row>
    <row r="405" spans="1:18" x14ac:dyDescent="0.25">
      <c r="A405" s="97">
        <v>2012</v>
      </c>
      <c r="B405" s="98" t="s">
        <v>84</v>
      </c>
      <c r="C405" s="97">
        <v>15</v>
      </c>
      <c r="D405" s="99">
        <f>IFERROR(Table1[[#This Row],[MAT]]/Table1[[#This Row],[LAG MATCH]],"")</f>
        <v>0.83333333333333337</v>
      </c>
      <c r="E405" s="97">
        <v>0</v>
      </c>
      <c r="F405" s="97">
        <v>0</v>
      </c>
      <c r="G405" s="97">
        <v>0</v>
      </c>
      <c r="H405" s="97">
        <v>18</v>
      </c>
      <c r="I405" s="100">
        <f t="shared" si="12"/>
        <v>0</v>
      </c>
      <c r="J405" s="97">
        <f>Table1[[#This Row],[ÅR]]</f>
        <v>2012</v>
      </c>
      <c r="K405" s="97">
        <v>1997</v>
      </c>
      <c r="L405" s="97">
        <f>Table1[[#This Row],[ÅR]]-Table1[[#This Row],[FÖDD]]</f>
        <v>15</v>
      </c>
      <c r="M405" s="97">
        <v>4</v>
      </c>
      <c r="N405" s="97">
        <f>SUMIF(B:B,Table1[[#This Row],[Namn]],C:C)</f>
        <v>74</v>
      </c>
      <c r="O405" s="97">
        <f>COUNTIF(B:B,Table1[[#This Row],[Namn]])</f>
        <v>5</v>
      </c>
      <c r="P405" s="97">
        <f>SUMIF(B:B,Table1[[#This Row],[Namn]],G:G)</f>
        <v>1</v>
      </c>
      <c r="Q405" s="97">
        <f>SUMIF(B:B,Table1[[#This Row],[Namn]],E:E)</f>
        <v>1</v>
      </c>
      <c r="R405" s="97">
        <f>SUMIF(B:B,Table1[[#This Row],[Namn]],F:F)</f>
        <v>0</v>
      </c>
    </row>
    <row r="406" spans="1:18" x14ac:dyDescent="0.25">
      <c r="A406" s="97">
        <v>2012</v>
      </c>
      <c r="B406" s="98" t="s">
        <v>172</v>
      </c>
      <c r="C406" s="97">
        <v>14</v>
      </c>
      <c r="D406" s="99">
        <f>IFERROR(Table1[[#This Row],[MAT]]/Table1[[#This Row],[LAG MATCH]],"")</f>
        <v>0.77777777777777779</v>
      </c>
      <c r="E406" s="97">
        <v>0</v>
      </c>
      <c r="F406" s="97">
        <v>0</v>
      </c>
      <c r="G406" s="97">
        <v>0</v>
      </c>
      <c r="H406" s="97">
        <v>18</v>
      </c>
      <c r="I406" s="100">
        <f t="shared" si="12"/>
        <v>0</v>
      </c>
      <c r="J406" s="97">
        <f>Table1[[#This Row],[ÅR]]</f>
        <v>2012</v>
      </c>
      <c r="K406" s="97">
        <v>1991</v>
      </c>
      <c r="L406" s="97">
        <f>Table1[[#This Row],[ÅR]]-Table1[[#This Row],[FÖDD]]</f>
        <v>21</v>
      </c>
      <c r="M406" s="97">
        <v>4</v>
      </c>
      <c r="N406" s="97">
        <f>SUMIF(B:B,Table1[[#This Row],[Namn]],C:C)</f>
        <v>35</v>
      </c>
      <c r="O406" s="97">
        <f>COUNTIF(B:B,Table1[[#This Row],[Namn]])</f>
        <v>3</v>
      </c>
      <c r="P406" s="97">
        <f>SUMIF(B:B,Table1[[#This Row],[Namn]],G:G)</f>
        <v>0</v>
      </c>
      <c r="Q406" s="97">
        <f>SUMIF(B:B,Table1[[#This Row],[Namn]],E:E)</f>
        <v>1</v>
      </c>
      <c r="R406" s="97">
        <f>SUMIF(B:B,Table1[[#This Row],[Namn]],F:F)</f>
        <v>0</v>
      </c>
    </row>
    <row r="407" spans="1:18" x14ac:dyDescent="0.25">
      <c r="A407" s="97">
        <v>2012</v>
      </c>
      <c r="B407" s="98" t="s">
        <v>138</v>
      </c>
      <c r="C407" s="97">
        <v>12</v>
      </c>
      <c r="D407" s="99">
        <f>IFERROR(Table1[[#This Row],[MAT]]/Table1[[#This Row],[LAG MATCH]],"")</f>
        <v>0.66666666666666663</v>
      </c>
      <c r="E407" s="97">
        <v>0</v>
      </c>
      <c r="F407" s="97">
        <v>0</v>
      </c>
      <c r="G407" s="97">
        <v>2</v>
      </c>
      <c r="H407" s="97">
        <v>18</v>
      </c>
      <c r="I407" s="100">
        <f t="shared" si="12"/>
        <v>0.16666666666666666</v>
      </c>
      <c r="J407" s="97">
        <f>Table1[[#This Row],[ÅR]]</f>
        <v>2012</v>
      </c>
      <c r="K407" s="97">
        <v>1996</v>
      </c>
      <c r="L407" s="97">
        <f>Table1[[#This Row],[ÅR]]-Table1[[#This Row],[FÖDD]]</f>
        <v>16</v>
      </c>
      <c r="M407" s="97">
        <v>4</v>
      </c>
      <c r="N407" s="97">
        <f>SUMIF(B:B,Table1[[#This Row],[Namn]],C:C)</f>
        <v>20</v>
      </c>
      <c r="O407" s="97">
        <f>COUNTIF(B:B,Table1[[#This Row],[Namn]])</f>
        <v>2</v>
      </c>
      <c r="P407" s="97">
        <f>SUMIF(B:B,Table1[[#This Row],[Namn]],G:G)</f>
        <v>4</v>
      </c>
      <c r="Q407" s="97">
        <f>SUMIF(B:B,Table1[[#This Row],[Namn]],E:E)</f>
        <v>0</v>
      </c>
      <c r="R407" s="97">
        <f>SUMIF(B:B,Table1[[#This Row],[Namn]],F:F)</f>
        <v>0</v>
      </c>
    </row>
    <row r="408" spans="1:18" x14ac:dyDescent="0.25">
      <c r="A408" s="97">
        <v>2012</v>
      </c>
      <c r="B408" s="98" t="s">
        <v>136</v>
      </c>
      <c r="C408" s="97">
        <v>11</v>
      </c>
      <c r="D408" s="99">
        <f>IFERROR(Table1[[#This Row],[MAT]]/Table1[[#This Row],[LAG MATCH]],"")</f>
        <v>0.61111111111111116</v>
      </c>
      <c r="E408" s="97">
        <v>0</v>
      </c>
      <c r="F408" s="97">
        <v>0</v>
      </c>
      <c r="G408" s="97">
        <v>0</v>
      </c>
      <c r="H408" s="97">
        <v>18</v>
      </c>
      <c r="I408" s="100">
        <f t="shared" si="12"/>
        <v>0</v>
      </c>
      <c r="J408" s="97">
        <f>Table1[[#This Row],[ÅR]]</f>
        <v>2012</v>
      </c>
      <c r="K408" s="97">
        <v>1996</v>
      </c>
      <c r="L408" s="97">
        <f>Table1[[#This Row],[ÅR]]-Table1[[#This Row],[FÖDD]]</f>
        <v>16</v>
      </c>
      <c r="M408" s="97">
        <v>4</v>
      </c>
      <c r="N408" s="97">
        <f>SUMIF(B:B,Table1[[#This Row],[Namn]],C:C)</f>
        <v>69</v>
      </c>
      <c r="O408" s="97">
        <f>COUNTIF(B:B,Table1[[#This Row],[Namn]])</f>
        <v>5</v>
      </c>
      <c r="P408" s="97">
        <f>SUMIF(B:B,Table1[[#This Row],[Namn]],G:G)</f>
        <v>1</v>
      </c>
      <c r="Q408" s="97">
        <f>SUMIF(B:B,Table1[[#This Row],[Namn]],E:E)</f>
        <v>0</v>
      </c>
      <c r="R408" s="97">
        <f>SUMIF(B:B,Table1[[#This Row],[Namn]],F:F)</f>
        <v>0</v>
      </c>
    </row>
    <row r="409" spans="1:18" x14ac:dyDescent="0.25">
      <c r="A409" s="97">
        <v>2012</v>
      </c>
      <c r="B409" s="98" t="s">
        <v>153</v>
      </c>
      <c r="C409" s="97">
        <v>10</v>
      </c>
      <c r="D409" s="99">
        <f>IFERROR(Table1[[#This Row],[MAT]]/Table1[[#This Row],[LAG MATCH]],"")</f>
        <v>0.55555555555555558</v>
      </c>
      <c r="E409" s="97">
        <v>0</v>
      </c>
      <c r="F409" s="97">
        <v>0</v>
      </c>
      <c r="G409" s="97">
        <v>1</v>
      </c>
      <c r="H409" s="97">
        <v>18</v>
      </c>
      <c r="I409" s="100">
        <f t="shared" si="12"/>
        <v>0.1</v>
      </c>
      <c r="J409" s="97">
        <f>Table1[[#This Row],[ÅR]]</f>
        <v>2012</v>
      </c>
      <c r="K409" s="97">
        <v>1992</v>
      </c>
      <c r="L409" s="97">
        <f>Table1[[#This Row],[ÅR]]-Table1[[#This Row],[FÖDD]]</f>
        <v>20</v>
      </c>
      <c r="M409" s="97">
        <v>4</v>
      </c>
      <c r="N409" s="97">
        <f>SUMIF(B:B,Table1[[#This Row],[Namn]],C:C)</f>
        <v>39</v>
      </c>
      <c r="O409" s="97">
        <f>COUNTIF(B:B,Table1[[#This Row],[Namn]])</f>
        <v>5</v>
      </c>
      <c r="P409" s="97">
        <f>SUMIF(B:B,Table1[[#This Row],[Namn]],G:G)</f>
        <v>11</v>
      </c>
      <c r="Q409" s="97">
        <f>SUMIF(B:B,Table1[[#This Row],[Namn]],E:E)</f>
        <v>3</v>
      </c>
      <c r="R409" s="97">
        <f>SUMIF(B:B,Table1[[#This Row],[Namn]],F:F)</f>
        <v>0</v>
      </c>
    </row>
    <row r="410" spans="1:18" x14ac:dyDescent="0.25">
      <c r="A410" s="97">
        <v>2012</v>
      </c>
      <c r="B410" s="98" t="s">
        <v>171</v>
      </c>
      <c r="C410" s="97">
        <v>9</v>
      </c>
      <c r="D410" s="99">
        <f>IFERROR(Table1[[#This Row],[MAT]]/Table1[[#This Row],[LAG MATCH]],"")</f>
        <v>0.5</v>
      </c>
      <c r="E410" s="97">
        <v>0</v>
      </c>
      <c r="F410" s="97">
        <v>0</v>
      </c>
      <c r="G410" s="97">
        <v>0</v>
      </c>
      <c r="H410" s="97">
        <v>18</v>
      </c>
      <c r="I410" s="100">
        <f t="shared" si="12"/>
        <v>0</v>
      </c>
      <c r="J410" s="97">
        <f>Table1[[#This Row],[ÅR]]</f>
        <v>2012</v>
      </c>
      <c r="K410" s="97">
        <v>1997</v>
      </c>
      <c r="L410" s="97">
        <f>Table1[[#This Row],[ÅR]]-Table1[[#This Row],[FÖDD]]</f>
        <v>15</v>
      </c>
      <c r="M410" s="97">
        <v>4</v>
      </c>
      <c r="N410" s="97">
        <f>SUMIF(B:B,Table1[[#This Row],[Namn]],C:C)</f>
        <v>32</v>
      </c>
      <c r="O410" s="97">
        <f>COUNTIF(B:B,Table1[[#This Row],[Namn]])</f>
        <v>3</v>
      </c>
      <c r="P410" s="97">
        <f>SUMIF(B:B,Table1[[#This Row],[Namn]],G:G)</f>
        <v>0</v>
      </c>
      <c r="Q410" s="97">
        <f>SUMIF(B:B,Table1[[#This Row],[Namn]],E:E)</f>
        <v>0</v>
      </c>
      <c r="R410" s="97">
        <f>SUMIF(B:B,Table1[[#This Row],[Namn]],F:F)</f>
        <v>0</v>
      </c>
    </row>
    <row r="411" spans="1:18" x14ac:dyDescent="0.25">
      <c r="A411" s="97">
        <v>2012</v>
      </c>
      <c r="B411" s="98" t="s">
        <v>137</v>
      </c>
      <c r="C411" s="97">
        <v>9</v>
      </c>
      <c r="D411" s="99">
        <f>IFERROR(Table1[[#This Row],[MAT]]/Table1[[#This Row],[LAG MATCH]],"")</f>
        <v>0.5</v>
      </c>
      <c r="E411" s="97">
        <v>0</v>
      </c>
      <c r="F411" s="97">
        <v>0</v>
      </c>
      <c r="G411" s="97">
        <v>0</v>
      </c>
      <c r="H411" s="97">
        <v>18</v>
      </c>
      <c r="I411" s="100">
        <f t="shared" si="12"/>
        <v>0</v>
      </c>
      <c r="J411" s="97">
        <f>Table1[[#This Row],[ÅR]]</f>
        <v>2012</v>
      </c>
      <c r="K411" s="97">
        <v>1996</v>
      </c>
      <c r="L411" s="97">
        <f>Table1[[#This Row],[ÅR]]-Table1[[#This Row],[FÖDD]]</f>
        <v>16</v>
      </c>
      <c r="M411" s="97">
        <v>4</v>
      </c>
      <c r="N411" s="97">
        <f>SUMIF(B:B,Table1[[#This Row],[Namn]],C:C)</f>
        <v>44</v>
      </c>
      <c r="O411" s="97">
        <f>COUNTIF(B:B,Table1[[#This Row],[Namn]])</f>
        <v>5</v>
      </c>
      <c r="P411" s="97">
        <f>SUMIF(B:B,Table1[[#This Row],[Namn]],G:G)</f>
        <v>4</v>
      </c>
      <c r="Q411" s="97">
        <f>SUMIF(B:B,Table1[[#This Row],[Namn]],E:E)</f>
        <v>0</v>
      </c>
      <c r="R411" s="97">
        <f>SUMIF(B:B,Table1[[#This Row],[Namn]],F:F)</f>
        <v>0</v>
      </c>
    </row>
    <row r="412" spans="1:18" x14ac:dyDescent="0.25">
      <c r="A412" s="97">
        <v>2012</v>
      </c>
      <c r="B412" s="98" t="s">
        <v>169</v>
      </c>
      <c r="C412" s="97">
        <v>7</v>
      </c>
      <c r="D412" s="99">
        <f>IFERROR(Table1[[#This Row],[MAT]]/Table1[[#This Row],[LAG MATCH]],"")</f>
        <v>0.3888888888888889</v>
      </c>
      <c r="E412" s="97">
        <v>0</v>
      </c>
      <c r="F412" s="97">
        <v>0</v>
      </c>
      <c r="G412" s="97">
        <v>2</v>
      </c>
      <c r="H412" s="97">
        <v>18</v>
      </c>
      <c r="I412" s="100">
        <f t="shared" si="12"/>
        <v>0.2857142857142857</v>
      </c>
      <c r="J412" s="97">
        <f>Table1[[#This Row],[ÅR]]</f>
        <v>2012</v>
      </c>
      <c r="K412" s="97">
        <v>1996</v>
      </c>
      <c r="L412" s="97">
        <f>Table1[[#This Row],[ÅR]]-Table1[[#This Row],[FÖDD]]</f>
        <v>16</v>
      </c>
      <c r="M412" s="97">
        <v>4</v>
      </c>
      <c r="N412" s="97">
        <f>SUMIF(B:B,Table1[[#This Row],[Namn]],C:C)</f>
        <v>28</v>
      </c>
      <c r="O412" s="97">
        <f>COUNTIF(B:B,Table1[[#This Row],[Namn]])</f>
        <v>3</v>
      </c>
      <c r="P412" s="97">
        <f>SUMIF(B:B,Table1[[#This Row],[Namn]],G:G)</f>
        <v>9</v>
      </c>
      <c r="Q412" s="97">
        <f>SUMIF(B:B,Table1[[#This Row],[Namn]],E:E)</f>
        <v>0</v>
      </c>
      <c r="R412" s="97">
        <f>SUMIF(B:B,Table1[[#This Row],[Namn]],F:F)</f>
        <v>0</v>
      </c>
    </row>
    <row r="413" spans="1:18" x14ac:dyDescent="0.25">
      <c r="A413" s="97">
        <v>2012</v>
      </c>
      <c r="B413" s="98" t="s">
        <v>181</v>
      </c>
      <c r="C413" s="97">
        <v>7</v>
      </c>
      <c r="D413" s="99">
        <f>IFERROR(Table1[[#This Row],[MAT]]/Table1[[#This Row],[LAG MATCH]],"")</f>
        <v>0.3888888888888889</v>
      </c>
      <c r="E413" s="97">
        <v>0</v>
      </c>
      <c r="F413" s="97">
        <v>0</v>
      </c>
      <c r="G413" s="97">
        <v>1</v>
      </c>
      <c r="H413" s="97">
        <v>18</v>
      </c>
      <c r="I413" s="100">
        <f t="shared" si="12"/>
        <v>0.14285714285714285</v>
      </c>
      <c r="J413" s="97">
        <f>Table1[[#This Row],[ÅR]]</f>
        <v>2012</v>
      </c>
      <c r="K413" s="97">
        <v>1994</v>
      </c>
      <c r="L413" s="97">
        <f>Table1[[#This Row],[ÅR]]-Table1[[#This Row],[FÖDD]]</f>
        <v>18</v>
      </c>
      <c r="M413" s="97">
        <v>4</v>
      </c>
      <c r="N413" s="97">
        <f>SUMIF(B:B,Table1[[#This Row],[Namn]],C:C)</f>
        <v>9</v>
      </c>
      <c r="O413" s="97">
        <f>COUNTIF(B:B,Table1[[#This Row],[Namn]])</f>
        <v>2</v>
      </c>
      <c r="P413" s="97">
        <f>SUMIF(B:B,Table1[[#This Row],[Namn]],G:G)</f>
        <v>1</v>
      </c>
      <c r="Q413" s="97">
        <f>SUMIF(B:B,Table1[[#This Row],[Namn]],E:E)</f>
        <v>0</v>
      </c>
      <c r="R413" s="97">
        <f>SUMIF(B:B,Table1[[#This Row],[Namn]],F:F)</f>
        <v>0</v>
      </c>
    </row>
    <row r="414" spans="1:18" x14ac:dyDescent="0.25">
      <c r="A414" s="97">
        <v>2012</v>
      </c>
      <c r="B414" s="98" t="s">
        <v>182</v>
      </c>
      <c r="C414" s="97">
        <v>3</v>
      </c>
      <c r="D414" s="99">
        <f>IFERROR(Table1[[#This Row],[MAT]]/Table1[[#This Row],[LAG MATCH]],"")</f>
        <v>0.16666666666666666</v>
      </c>
      <c r="E414" s="97">
        <v>0</v>
      </c>
      <c r="F414" s="97">
        <v>0</v>
      </c>
      <c r="G414" s="97">
        <v>0</v>
      </c>
      <c r="H414" s="97">
        <v>18</v>
      </c>
      <c r="I414" s="100">
        <f t="shared" si="12"/>
        <v>0</v>
      </c>
      <c r="J414" s="97">
        <f>Table1[[#This Row],[ÅR]]</f>
        <v>2012</v>
      </c>
      <c r="K414" s="97">
        <v>1996</v>
      </c>
      <c r="L414" s="97">
        <f>Table1[[#This Row],[ÅR]]-Table1[[#This Row],[FÖDD]]</f>
        <v>16</v>
      </c>
      <c r="M414" s="97">
        <v>4</v>
      </c>
      <c r="N414" s="97">
        <f>SUMIF(B:B,Table1[[#This Row],[Namn]],C:C)</f>
        <v>3</v>
      </c>
      <c r="O414" s="97">
        <f>COUNTIF(B:B,Table1[[#This Row],[Namn]])</f>
        <v>1</v>
      </c>
      <c r="P414" s="97">
        <f>SUMIF(B:B,Table1[[#This Row],[Namn]],G:G)</f>
        <v>0</v>
      </c>
      <c r="Q414" s="97">
        <f>SUMIF(B:B,Table1[[#This Row],[Namn]],E:E)</f>
        <v>0</v>
      </c>
      <c r="R414" s="97">
        <f>SUMIF(B:B,Table1[[#This Row],[Namn]],F:F)</f>
        <v>0</v>
      </c>
    </row>
    <row r="415" spans="1:18" x14ac:dyDescent="0.25">
      <c r="A415" s="97">
        <v>2012</v>
      </c>
      <c r="B415" s="98" t="s">
        <v>180</v>
      </c>
      <c r="C415" s="97">
        <v>1</v>
      </c>
      <c r="D415" s="99">
        <f>IFERROR(Table1[[#This Row],[MAT]]/Table1[[#This Row],[LAG MATCH]],"")</f>
        <v>5.5555555555555552E-2</v>
      </c>
      <c r="E415" s="97">
        <v>0</v>
      </c>
      <c r="F415" s="97">
        <v>0</v>
      </c>
      <c r="G415" s="97">
        <v>0</v>
      </c>
      <c r="H415" s="97">
        <v>18</v>
      </c>
      <c r="I415" s="100">
        <f t="shared" si="12"/>
        <v>0</v>
      </c>
      <c r="J415" s="97">
        <f>Table1[[#This Row],[ÅR]]</f>
        <v>2012</v>
      </c>
      <c r="K415" s="97">
        <v>1999</v>
      </c>
      <c r="L415" s="97">
        <f>Table1[[#This Row],[ÅR]]-Table1[[#This Row],[FÖDD]]</f>
        <v>13</v>
      </c>
      <c r="M415" s="97">
        <v>4</v>
      </c>
      <c r="N415" s="97">
        <f>SUMIF(B:B,Table1[[#This Row],[Namn]],C:C)</f>
        <v>2</v>
      </c>
      <c r="O415" s="97">
        <f>COUNTIF(B:B,Table1[[#This Row],[Namn]])</f>
        <v>2</v>
      </c>
      <c r="P415" s="97">
        <f>SUMIF(B:B,Table1[[#This Row],[Namn]],G:G)</f>
        <v>0</v>
      </c>
      <c r="Q415" s="97">
        <f>SUMIF(B:B,Table1[[#This Row],[Namn]],E:E)</f>
        <v>0</v>
      </c>
      <c r="R415" s="97">
        <f>SUMIF(B:B,Table1[[#This Row],[Namn]],F:F)</f>
        <v>0</v>
      </c>
    </row>
    <row r="416" spans="1:18" x14ac:dyDescent="0.25">
      <c r="A416" s="97">
        <v>2011</v>
      </c>
      <c r="B416" s="98" t="s">
        <v>183</v>
      </c>
      <c r="C416" s="97">
        <v>24</v>
      </c>
      <c r="D416" s="99">
        <f>IFERROR(Table1[[#This Row],[MAT]]/Table1[[#This Row],[LAG MATCH]],"")</f>
        <v>1</v>
      </c>
      <c r="E416" s="97">
        <v>1</v>
      </c>
      <c r="F416" s="97">
        <v>0</v>
      </c>
      <c r="G416" s="97">
        <v>3</v>
      </c>
      <c r="H416" s="97">
        <v>24</v>
      </c>
      <c r="I416" s="100">
        <f t="shared" si="12"/>
        <v>0.125</v>
      </c>
      <c r="J416" s="97">
        <f>Table1[[#This Row],[ÅR]]</f>
        <v>2011</v>
      </c>
      <c r="K416" s="97">
        <v>1991</v>
      </c>
      <c r="L416" s="97">
        <f>Table1[[#This Row],[ÅR]]-Table1[[#This Row],[FÖDD]]</f>
        <v>20</v>
      </c>
      <c r="M416" s="97">
        <v>3</v>
      </c>
      <c r="N416" s="97">
        <f>SUMIF(B:B,Table1[[#This Row],[Namn]],C:C)</f>
        <v>43</v>
      </c>
      <c r="O416" s="97">
        <f>COUNTIF(B:B,Table1[[#This Row],[Namn]])</f>
        <v>2</v>
      </c>
      <c r="P416" s="97">
        <f>SUMIF(B:B,Table1[[#This Row],[Namn]],G:G)</f>
        <v>3</v>
      </c>
      <c r="Q416" s="97">
        <f>SUMIF(B:B,Table1[[#This Row],[Namn]],E:E)</f>
        <v>1</v>
      </c>
      <c r="R416" s="97">
        <f>SUMIF(B:B,Table1[[#This Row],[Namn]],F:F)</f>
        <v>0</v>
      </c>
    </row>
    <row r="417" spans="1:18" x14ac:dyDescent="0.25">
      <c r="A417" s="97">
        <v>2011</v>
      </c>
      <c r="B417" s="98" t="s">
        <v>184</v>
      </c>
      <c r="C417" s="97">
        <v>24</v>
      </c>
      <c r="D417" s="99">
        <f>IFERROR(Table1[[#This Row],[MAT]]/Table1[[#This Row],[LAG MATCH]],"")</f>
        <v>1</v>
      </c>
      <c r="E417" s="97">
        <v>0</v>
      </c>
      <c r="F417" s="97">
        <v>0</v>
      </c>
      <c r="G417" s="97">
        <v>2</v>
      </c>
      <c r="H417" s="97">
        <v>24</v>
      </c>
      <c r="I417" s="100">
        <f t="shared" si="12"/>
        <v>8.3333333333333329E-2</v>
      </c>
      <c r="J417" s="97">
        <f>Table1[[#This Row],[ÅR]]</f>
        <v>2011</v>
      </c>
      <c r="K417" s="97">
        <v>1992</v>
      </c>
      <c r="L417" s="97">
        <f>Table1[[#This Row],[ÅR]]-Table1[[#This Row],[FÖDD]]</f>
        <v>19</v>
      </c>
      <c r="M417" s="97">
        <v>3</v>
      </c>
      <c r="N417" s="97">
        <f>SUMIF(B:B,Table1[[#This Row],[Namn]],C:C)</f>
        <v>45</v>
      </c>
      <c r="O417" s="97">
        <f>COUNTIF(B:B,Table1[[#This Row],[Namn]])</f>
        <v>2</v>
      </c>
      <c r="P417" s="97">
        <f>SUMIF(B:B,Table1[[#This Row],[Namn]],G:G)</f>
        <v>10</v>
      </c>
      <c r="Q417" s="97">
        <f>SUMIF(B:B,Table1[[#This Row],[Namn]],E:E)</f>
        <v>0</v>
      </c>
      <c r="R417" s="97">
        <f>SUMIF(B:B,Table1[[#This Row],[Namn]],F:F)</f>
        <v>0</v>
      </c>
    </row>
    <row r="418" spans="1:18" x14ac:dyDescent="0.25">
      <c r="A418" s="97">
        <v>2011</v>
      </c>
      <c r="B418" s="98" t="s">
        <v>185</v>
      </c>
      <c r="C418" s="97">
        <v>24</v>
      </c>
      <c r="D418" s="99">
        <f>IFERROR(Table1[[#This Row],[MAT]]/Table1[[#This Row],[LAG MATCH]],"")</f>
        <v>1</v>
      </c>
      <c r="E418" s="97">
        <v>2</v>
      </c>
      <c r="F418" s="97">
        <v>0</v>
      </c>
      <c r="G418" s="97">
        <v>1</v>
      </c>
      <c r="H418" s="97">
        <v>24</v>
      </c>
      <c r="I418" s="100">
        <f t="shared" si="12"/>
        <v>4.1666666666666664E-2</v>
      </c>
      <c r="J418" s="97">
        <f>Table1[[#This Row],[ÅR]]</f>
        <v>2011</v>
      </c>
      <c r="K418" s="97">
        <v>1990</v>
      </c>
      <c r="L418" s="97">
        <f>Table1[[#This Row],[ÅR]]-Table1[[#This Row],[FÖDD]]</f>
        <v>21</v>
      </c>
      <c r="M418" s="97">
        <v>3</v>
      </c>
      <c r="N418" s="97">
        <f>SUMIF(B:B,Table1[[#This Row],[Namn]],C:C)</f>
        <v>41</v>
      </c>
      <c r="O418" s="97">
        <f>COUNTIF(B:B,Table1[[#This Row],[Namn]])</f>
        <v>2</v>
      </c>
      <c r="P418" s="97">
        <f>SUMIF(B:B,Table1[[#This Row],[Namn]],G:G)</f>
        <v>2</v>
      </c>
      <c r="Q418" s="97">
        <f>SUMIF(B:B,Table1[[#This Row],[Namn]],E:E)</f>
        <v>3</v>
      </c>
      <c r="R418" s="97">
        <f>SUMIF(B:B,Table1[[#This Row],[Namn]],F:F)</f>
        <v>0</v>
      </c>
    </row>
    <row r="419" spans="1:18" x14ac:dyDescent="0.25">
      <c r="A419" s="97">
        <v>2011</v>
      </c>
      <c r="B419" s="98" t="s">
        <v>186</v>
      </c>
      <c r="C419" s="97">
        <v>23</v>
      </c>
      <c r="D419" s="99">
        <f>IFERROR(Table1[[#This Row],[MAT]]/Table1[[#This Row],[LAG MATCH]],"")</f>
        <v>0.95833333333333337</v>
      </c>
      <c r="E419" s="97">
        <v>0</v>
      </c>
      <c r="F419" s="97">
        <v>0</v>
      </c>
      <c r="G419" s="97">
        <v>1</v>
      </c>
      <c r="H419" s="97">
        <v>24</v>
      </c>
      <c r="I419" s="100">
        <f t="shared" si="12"/>
        <v>4.3478260869565216E-2</v>
      </c>
      <c r="J419" s="97">
        <f>Table1[[#This Row],[ÅR]]</f>
        <v>2011</v>
      </c>
      <c r="K419" s="97">
        <v>1984</v>
      </c>
      <c r="L419" s="97">
        <f>Table1[[#This Row],[ÅR]]-Table1[[#This Row],[FÖDD]]</f>
        <v>27</v>
      </c>
      <c r="M419" s="97">
        <v>3</v>
      </c>
      <c r="N419" s="97">
        <f>SUMIF(B:B,Table1[[#This Row],[Namn]],C:C)</f>
        <v>23</v>
      </c>
      <c r="O419" s="97">
        <f>COUNTIF(B:B,Table1[[#This Row],[Namn]])</f>
        <v>1</v>
      </c>
      <c r="P419" s="97">
        <f>SUMIF(B:B,Table1[[#This Row],[Namn]],G:G)</f>
        <v>1</v>
      </c>
      <c r="Q419" s="97">
        <f>SUMIF(B:B,Table1[[#This Row],[Namn]],E:E)</f>
        <v>0</v>
      </c>
      <c r="R419" s="97">
        <f>SUMIF(B:B,Table1[[#This Row],[Namn]],F:F)</f>
        <v>0</v>
      </c>
    </row>
    <row r="420" spans="1:18" x14ac:dyDescent="0.25">
      <c r="A420" s="97">
        <v>2011</v>
      </c>
      <c r="B420" s="98" t="s">
        <v>187</v>
      </c>
      <c r="C420" s="97">
        <v>23</v>
      </c>
      <c r="D420" s="99">
        <f>IFERROR(Table1[[#This Row],[MAT]]/Table1[[#This Row],[LAG MATCH]],"")</f>
        <v>0.95833333333333337</v>
      </c>
      <c r="E420" s="97">
        <v>0</v>
      </c>
      <c r="F420" s="97">
        <v>0</v>
      </c>
      <c r="G420" s="97">
        <v>1</v>
      </c>
      <c r="H420" s="97">
        <v>24</v>
      </c>
      <c r="I420" s="100">
        <f t="shared" si="12"/>
        <v>4.3478260869565216E-2</v>
      </c>
      <c r="J420" s="97">
        <f>Table1[[#This Row],[ÅR]]</f>
        <v>2011</v>
      </c>
      <c r="K420" s="97">
        <v>1984</v>
      </c>
      <c r="L420" s="97">
        <f>Table1[[#This Row],[ÅR]]-Table1[[#This Row],[FÖDD]]</f>
        <v>27</v>
      </c>
      <c r="M420" s="97">
        <v>3</v>
      </c>
      <c r="N420" s="97">
        <f>SUMIF(B:B,Table1[[#This Row],[Namn]],C:C)</f>
        <v>23</v>
      </c>
      <c r="O420" s="97">
        <f>COUNTIF(B:B,Table1[[#This Row],[Namn]])</f>
        <v>1</v>
      </c>
      <c r="P420" s="97">
        <f>SUMIF(B:B,Table1[[#This Row],[Namn]],G:G)</f>
        <v>1</v>
      </c>
      <c r="Q420" s="97">
        <f>SUMIF(B:B,Table1[[#This Row],[Namn]],E:E)</f>
        <v>0</v>
      </c>
      <c r="R420" s="97">
        <f>SUMIF(B:B,Table1[[#This Row],[Namn]],F:F)</f>
        <v>0</v>
      </c>
    </row>
    <row r="421" spans="1:18" x14ac:dyDescent="0.25">
      <c r="A421" s="97">
        <v>2011</v>
      </c>
      <c r="B421" s="98" t="s">
        <v>188</v>
      </c>
      <c r="C421" s="97">
        <v>21</v>
      </c>
      <c r="D421" s="99">
        <f>IFERROR(Table1[[#This Row],[MAT]]/Table1[[#This Row],[LAG MATCH]],"")</f>
        <v>0.875</v>
      </c>
      <c r="E421" s="97">
        <v>3</v>
      </c>
      <c r="F421" s="97">
        <v>0</v>
      </c>
      <c r="G421" s="97">
        <v>3</v>
      </c>
      <c r="H421" s="97">
        <v>24</v>
      </c>
      <c r="I421" s="100">
        <f t="shared" si="12"/>
        <v>0.14285714285714285</v>
      </c>
      <c r="J421" s="97">
        <f>Table1[[#This Row],[ÅR]]</f>
        <v>2011</v>
      </c>
      <c r="K421" s="97">
        <v>1989</v>
      </c>
      <c r="L421" s="97">
        <f>Table1[[#This Row],[ÅR]]-Table1[[#This Row],[FÖDD]]</f>
        <v>22</v>
      </c>
      <c r="M421" s="97">
        <v>3</v>
      </c>
      <c r="N421" s="97">
        <f>SUMIF(B:B,Table1[[#This Row],[Namn]],C:C)</f>
        <v>27</v>
      </c>
      <c r="O421" s="97">
        <f>COUNTIF(B:B,Table1[[#This Row],[Namn]])</f>
        <v>2</v>
      </c>
      <c r="P421" s="97">
        <f>SUMIF(B:B,Table1[[#This Row],[Namn]],G:G)</f>
        <v>3</v>
      </c>
      <c r="Q421" s="97">
        <f>SUMIF(B:B,Table1[[#This Row],[Namn]],E:E)</f>
        <v>3</v>
      </c>
      <c r="R421" s="97">
        <f>SUMIF(B:B,Table1[[#This Row],[Namn]],F:F)</f>
        <v>0</v>
      </c>
    </row>
    <row r="422" spans="1:18" x14ac:dyDescent="0.25">
      <c r="A422" s="97">
        <v>2011</v>
      </c>
      <c r="B422" s="98" t="s">
        <v>189</v>
      </c>
      <c r="C422" s="97">
        <v>19</v>
      </c>
      <c r="D422" s="99">
        <f>IFERROR(Table1[[#This Row],[MAT]]/Table1[[#This Row],[LAG MATCH]],"")</f>
        <v>0.79166666666666663</v>
      </c>
      <c r="E422" s="97">
        <v>1</v>
      </c>
      <c r="F422" s="97">
        <v>0</v>
      </c>
      <c r="G422" s="97">
        <v>2</v>
      </c>
      <c r="H422" s="97">
        <v>24</v>
      </c>
      <c r="I422" s="100">
        <f t="shared" si="12"/>
        <v>0.10526315789473684</v>
      </c>
      <c r="J422" s="97">
        <f>Table1[[#This Row],[ÅR]]</f>
        <v>2011</v>
      </c>
      <c r="K422" s="97">
        <v>1990</v>
      </c>
      <c r="L422" s="97">
        <f>Table1[[#This Row],[ÅR]]-Table1[[#This Row],[FÖDD]]</f>
        <v>21</v>
      </c>
      <c r="M422" s="97">
        <v>3</v>
      </c>
      <c r="N422" s="97">
        <f>SUMIF(B:B,Table1[[#This Row],[Namn]],C:C)</f>
        <v>36</v>
      </c>
      <c r="O422" s="97">
        <f>COUNTIF(B:B,Table1[[#This Row],[Namn]])</f>
        <v>2</v>
      </c>
      <c r="P422" s="97">
        <f>SUMIF(B:B,Table1[[#This Row],[Namn]],G:G)</f>
        <v>5</v>
      </c>
      <c r="Q422" s="97">
        <f>SUMIF(B:B,Table1[[#This Row],[Namn]],E:E)</f>
        <v>4</v>
      </c>
      <c r="R422" s="97">
        <f>SUMIF(B:B,Table1[[#This Row],[Namn]],F:F)</f>
        <v>0</v>
      </c>
    </row>
    <row r="423" spans="1:18" x14ac:dyDescent="0.25">
      <c r="A423" s="97">
        <v>2011</v>
      </c>
      <c r="B423" s="98" t="s">
        <v>50</v>
      </c>
      <c r="C423" s="97">
        <v>18</v>
      </c>
      <c r="D423" s="99">
        <f>IFERROR(Table1[[#This Row],[MAT]]/Table1[[#This Row],[LAG MATCH]],"")</f>
        <v>0.75</v>
      </c>
      <c r="E423" s="97">
        <v>1</v>
      </c>
      <c r="F423" s="97">
        <v>0</v>
      </c>
      <c r="G423" s="97">
        <v>3</v>
      </c>
      <c r="H423" s="97">
        <v>24</v>
      </c>
      <c r="I423" s="100">
        <f t="shared" si="12"/>
        <v>0.16666666666666666</v>
      </c>
      <c r="J423" s="97">
        <f>Table1[[#This Row],[ÅR]]</f>
        <v>2011</v>
      </c>
      <c r="K423" s="97">
        <v>1993</v>
      </c>
      <c r="L423" s="97">
        <f>Table1[[#This Row],[ÅR]]-Table1[[#This Row],[FÖDD]]</f>
        <v>18</v>
      </c>
      <c r="M423" s="97">
        <v>3</v>
      </c>
      <c r="N423" s="97">
        <f>SUMIF(B:B,Table1[[#This Row],[Namn]],C:C)</f>
        <v>92</v>
      </c>
      <c r="O423" s="97">
        <f>COUNTIF(B:B,Table1[[#This Row],[Namn]])</f>
        <v>7</v>
      </c>
      <c r="P423" s="97">
        <f>SUMIF(B:B,Table1[[#This Row],[Namn]],G:G)</f>
        <v>5</v>
      </c>
      <c r="Q423" s="97">
        <f>SUMIF(B:B,Table1[[#This Row],[Namn]],E:E)</f>
        <v>4</v>
      </c>
      <c r="R423" s="97">
        <f>SUMIF(B:B,Table1[[#This Row],[Namn]],F:F)</f>
        <v>0</v>
      </c>
    </row>
    <row r="424" spans="1:18" x14ac:dyDescent="0.25">
      <c r="A424" s="97">
        <v>2011</v>
      </c>
      <c r="B424" s="98" t="s">
        <v>190</v>
      </c>
      <c r="C424" s="97">
        <v>17</v>
      </c>
      <c r="D424" s="99">
        <f>IFERROR(Table1[[#This Row],[MAT]]/Table1[[#This Row],[LAG MATCH]],"")</f>
        <v>0.70833333333333337</v>
      </c>
      <c r="E424" s="97">
        <v>0</v>
      </c>
      <c r="F424" s="97">
        <v>0</v>
      </c>
      <c r="G424" s="97">
        <v>9</v>
      </c>
      <c r="H424" s="97">
        <v>24</v>
      </c>
      <c r="I424" s="100">
        <f t="shared" si="12"/>
        <v>0.52941176470588236</v>
      </c>
      <c r="J424" s="97">
        <f>Table1[[#This Row],[ÅR]]</f>
        <v>2011</v>
      </c>
      <c r="K424" s="97">
        <v>1992</v>
      </c>
      <c r="L424" s="97">
        <f>Table1[[#This Row],[ÅR]]-Table1[[#This Row],[FÖDD]]</f>
        <v>19</v>
      </c>
      <c r="M424" s="97">
        <v>3</v>
      </c>
      <c r="N424" s="97">
        <f>SUMIF(B:B,Table1[[#This Row],[Namn]],C:C)</f>
        <v>38</v>
      </c>
      <c r="O424" s="97">
        <f>COUNTIF(B:B,Table1[[#This Row],[Namn]])</f>
        <v>2</v>
      </c>
      <c r="P424" s="97">
        <f>SUMIF(B:B,Table1[[#This Row],[Namn]],G:G)</f>
        <v>23</v>
      </c>
      <c r="Q424" s="97">
        <f>SUMIF(B:B,Table1[[#This Row],[Namn]],E:E)</f>
        <v>1</v>
      </c>
      <c r="R424" s="97">
        <f>SUMIF(B:B,Table1[[#This Row],[Namn]],F:F)</f>
        <v>0</v>
      </c>
    </row>
    <row r="425" spans="1:18" x14ac:dyDescent="0.25">
      <c r="A425" s="97">
        <v>2011</v>
      </c>
      <c r="B425" s="98" t="s">
        <v>191</v>
      </c>
      <c r="C425" s="97">
        <v>14</v>
      </c>
      <c r="D425" s="99">
        <f>IFERROR(Table1[[#This Row],[MAT]]/Table1[[#This Row],[LAG MATCH]],"")</f>
        <v>0.58333333333333337</v>
      </c>
      <c r="E425" s="97">
        <v>1</v>
      </c>
      <c r="F425" s="97">
        <v>0</v>
      </c>
      <c r="G425" s="97">
        <v>1</v>
      </c>
      <c r="H425" s="97">
        <v>24</v>
      </c>
      <c r="I425" s="100">
        <f t="shared" si="12"/>
        <v>7.1428571428571425E-2</v>
      </c>
      <c r="J425" s="97">
        <f>Table1[[#This Row],[ÅR]]</f>
        <v>2011</v>
      </c>
      <c r="K425" s="97">
        <v>1991</v>
      </c>
      <c r="L425" s="97">
        <f>Table1[[#This Row],[ÅR]]-Table1[[#This Row],[FÖDD]]</f>
        <v>20</v>
      </c>
      <c r="M425" s="97">
        <v>3</v>
      </c>
      <c r="N425" s="97">
        <f>SUMIF(B:B,Table1[[#This Row],[Namn]],C:C)</f>
        <v>29</v>
      </c>
      <c r="O425" s="97">
        <f>COUNTIF(B:B,Table1[[#This Row],[Namn]])</f>
        <v>2</v>
      </c>
      <c r="P425" s="97">
        <f>SUMIF(B:B,Table1[[#This Row],[Namn]],G:G)</f>
        <v>1</v>
      </c>
      <c r="Q425" s="97">
        <f>SUMIF(B:B,Table1[[#This Row],[Namn]],E:E)</f>
        <v>2</v>
      </c>
      <c r="R425" s="97">
        <f>SUMIF(B:B,Table1[[#This Row],[Namn]],F:F)</f>
        <v>0</v>
      </c>
    </row>
    <row r="426" spans="1:18" x14ac:dyDescent="0.25">
      <c r="A426" s="97">
        <v>2011</v>
      </c>
      <c r="B426" s="98" t="s">
        <v>192</v>
      </c>
      <c r="C426" s="97">
        <v>13</v>
      </c>
      <c r="D426" s="99">
        <f>IFERROR(Table1[[#This Row],[MAT]]/Table1[[#This Row],[LAG MATCH]],"")</f>
        <v>0.54166666666666663</v>
      </c>
      <c r="E426" s="97">
        <v>0</v>
      </c>
      <c r="F426" s="97">
        <v>0</v>
      </c>
      <c r="G426" s="97">
        <v>0</v>
      </c>
      <c r="H426" s="97">
        <v>24</v>
      </c>
      <c r="I426" s="100">
        <f t="shared" si="12"/>
        <v>0</v>
      </c>
      <c r="J426" s="97">
        <f>Table1[[#This Row],[ÅR]]</f>
        <v>2011</v>
      </c>
      <c r="K426" s="97">
        <v>1993</v>
      </c>
      <c r="L426" s="97">
        <f>Table1[[#This Row],[ÅR]]-Table1[[#This Row],[FÖDD]]</f>
        <v>18</v>
      </c>
      <c r="M426" s="97">
        <v>3</v>
      </c>
      <c r="N426" s="97">
        <f>SUMIF(B:B,Table1[[#This Row],[Namn]],C:C)</f>
        <v>13</v>
      </c>
      <c r="O426" s="97">
        <f>COUNTIF(B:B,Table1[[#This Row],[Namn]])</f>
        <v>1</v>
      </c>
      <c r="P426" s="97">
        <f>SUMIF(B:B,Table1[[#This Row],[Namn]],G:G)</f>
        <v>0</v>
      </c>
      <c r="Q426" s="97">
        <f>SUMIF(B:B,Table1[[#This Row],[Namn]],E:E)</f>
        <v>0</v>
      </c>
      <c r="R426" s="97">
        <f>SUMIF(B:B,Table1[[#This Row],[Namn]],F:F)</f>
        <v>0</v>
      </c>
    </row>
    <row r="427" spans="1:18" x14ac:dyDescent="0.25">
      <c r="A427" s="97">
        <v>2011</v>
      </c>
      <c r="B427" s="98" t="s">
        <v>109</v>
      </c>
      <c r="C427" s="97">
        <v>12</v>
      </c>
      <c r="D427" s="99">
        <f>IFERROR(Table1[[#This Row],[MAT]]/Table1[[#This Row],[LAG MATCH]],"")</f>
        <v>0.5</v>
      </c>
      <c r="E427" s="97">
        <v>0</v>
      </c>
      <c r="F427" s="97">
        <v>0</v>
      </c>
      <c r="G427" s="97">
        <v>1</v>
      </c>
      <c r="H427" s="97">
        <v>24</v>
      </c>
      <c r="I427" s="100">
        <f t="shared" si="12"/>
        <v>8.3333333333333329E-2</v>
      </c>
      <c r="J427" s="97">
        <f>Table1[[#This Row],[ÅR]]</f>
        <v>2011</v>
      </c>
      <c r="K427" s="97">
        <v>1989</v>
      </c>
      <c r="L427" s="97">
        <f>Table1[[#This Row],[ÅR]]-Table1[[#This Row],[FÖDD]]</f>
        <v>22</v>
      </c>
      <c r="M427" s="97">
        <v>3</v>
      </c>
      <c r="N427" s="97">
        <f>SUMIF(B:B,Table1[[#This Row],[Namn]],C:C)</f>
        <v>39</v>
      </c>
      <c r="O427" s="97">
        <f>COUNTIF(B:B,Table1[[#This Row],[Namn]])</f>
        <v>4</v>
      </c>
      <c r="P427" s="97">
        <f>SUMIF(B:B,Table1[[#This Row],[Namn]],G:G)</f>
        <v>1</v>
      </c>
      <c r="Q427" s="97">
        <f>SUMIF(B:B,Table1[[#This Row],[Namn]],E:E)</f>
        <v>1</v>
      </c>
      <c r="R427" s="97">
        <f>SUMIF(B:B,Table1[[#This Row],[Namn]],F:F)</f>
        <v>0</v>
      </c>
    </row>
    <row r="428" spans="1:18" x14ac:dyDescent="0.25">
      <c r="A428" s="97">
        <v>2011</v>
      </c>
      <c r="B428" s="98" t="s">
        <v>193</v>
      </c>
      <c r="C428" s="97">
        <v>9</v>
      </c>
      <c r="D428" s="99">
        <f>IFERROR(Table1[[#This Row],[MAT]]/Table1[[#This Row],[LAG MATCH]],"")</f>
        <v>0.375</v>
      </c>
      <c r="E428" s="97">
        <v>0</v>
      </c>
      <c r="F428" s="97">
        <v>0</v>
      </c>
      <c r="G428" s="97">
        <v>1</v>
      </c>
      <c r="H428" s="97">
        <v>24</v>
      </c>
      <c r="I428" s="100">
        <f t="shared" si="12"/>
        <v>0.1111111111111111</v>
      </c>
      <c r="J428" s="97">
        <f>Table1[[#This Row],[ÅR]]</f>
        <v>2011</v>
      </c>
      <c r="K428" s="97">
        <v>1990</v>
      </c>
      <c r="L428" s="97">
        <f>Table1[[#This Row],[ÅR]]-Table1[[#This Row],[FÖDD]]</f>
        <v>21</v>
      </c>
      <c r="M428" s="97">
        <v>3</v>
      </c>
      <c r="N428" s="97">
        <f>SUMIF(B:B,Table1[[#This Row],[Namn]],C:C)</f>
        <v>23</v>
      </c>
      <c r="O428" s="97">
        <f>COUNTIF(B:B,Table1[[#This Row],[Namn]])</f>
        <v>2</v>
      </c>
      <c r="P428" s="97">
        <f>SUMIF(B:B,Table1[[#This Row],[Namn]],G:G)</f>
        <v>1</v>
      </c>
      <c r="Q428" s="97">
        <f>SUMIF(B:B,Table1[[#This Row],[Namn]],E:E)</f>
        <v>0</v>
      </c>
      <c r="R428" s="97">
        <f>SUMIF(B:B,Table1[[#This Row],[Namn]],F:F)</f>
        <v>0</v>
      </c>
    </row>
    <row r="429" spans="1:18" x14ac:dyDescent="0.25">
      <c r="A429" s="97">
        <v>2011</v>
      </c>
      <c r="B429" s="98" t="s">
        <v>194</v>
      </c>
      <c r="C429" s="97">
        <v>8</v>
      </c>
      <c r="D429" s="99">
        <f>IFERROR(Table1[[#This Row],[MAT]]/Table1[[#This Row],[LAG MATCH]],"")</f>
        <v>0.33333333333333331</v>
      </c>
      <c r="E429" s="97">
        <v>2</v>
      </c>
      <c r="F429" s="97">
        <v>0</v>
      </c>
      <c r="G429" s="97">
        <v>2</v>
      </c>
      <c r="H429" s="97">
        <v>24</v>
      </c>
      <c r="I429" s="100">
        <f t="shared" si="12"/>
        <v>0.25</v>
      </c>
      <c r="J429" s="97">
        <f>Table1[[#This Row],[ÅR]]</f>
        <v>2011</v>
      </c>
      <c r="K429" s="97">
        <v>1992</v>
      </c>
      <c r="L429" s="97">
        <f>Table1[[#This Row],[ÅR]]-Table1[[#This Row],[FÖDD]]</f>
        <v>19</v>
      </c>
      <c r="M429" s="97">
        <v>3</v>
      </c>
      <c r="N429" s="97">
        <f>SUMIF(B:B,Table1[[#This Row],[Namn]],C:C)</f>
        <v>21</v>
      </c>
      <c r="O429" s="97">
        <f>COUNTIF(B:B,Table1[[#This Row],[Namn]])</f>
        <v>2</v>
      </c>
      <c r="P429" s="97">
        <f>SUMIF(B:B,Table1[[#This Row],[Namn]],G:G)</f>
        <v>10</v>
      </c>
      <c r="Q429" s="97">
        <f>SUMIF(B:B,Table1[[#This Row],[Namn]],E:E)</f>
        <v>2</v>
      </c>
      <c r="R429" s="97">
        <f>SUMIF(B:B,Table1[[#This Row],[Namn]],F:F)</f>
        <v>0</v>
      </c>
    </row>
    <row r="430" spans="1:18" x14ac:dyDescent="0.25">
      <c r="A430" s="97">
        <v>2011</v>
      </c>
      <c r="B430" s="98" t="s">
        <v>195</v>
      </c>
      <c r="C430" s="97">
        <v>6</v>
      </c>
      <c r="D430" s="99">
        <f>IFERROR(Table1[[#This Row],[MAT]]/Table1[[#This Row],[LAG MATCH]],"")</f>
        <v>0.25</v>
      </c>
      <c r="E430" s="97">
        <v>0</v>
      </c>
      <c r="F430" s="97">
        <v>0</v>
      </c>
      <c r="G430" s="97">
        <v>0</v>
      </c>
      <c r="H430" s="97">
        <v>24</v>
      </c>
      <c r="I430" s="100">
        <f t="shared" si="12"/>
        <v>0</v>
      </c>
      <c r="J430" s="97">
        <f>Table1[[#This Row],[ÅR]]</f>
        <v>2011</v>
      </c>
      <c r="K430" s="97">
        <v>1992</v>
      </c>
      <c r="L430" s="97">
        <f>Table1[[#This Row],[ÅR]]-Table1[[#This Row],[FÖDD]]</f>
        <v>19</v>
      </c>
      <c r="M430" s="97">
        <v>3</v>
      </c>
      <c r="N430" s="97">
        <f>SUMIF(B:B,Table1[[#This Row],[Namn]],C:C)</f>
        <v>6</v>
      </c>
      <c r="O430" s="97">
        <f>COUNTIF(B:B,Table1[[#This Row],[Namn]])</f>
        <v>1</v>
      </c>
      <c r="P430" s="97">
        <f>SUMIF(B:B,Table1[[#This Row],[Namn]],G:G)</f>
        <v>0</v>
      </c>
      <c r="Q430" s="97">
        <f>SUMIF(B:B,Table1[[#This Row],[Namn]],E:E)</f>
        <v>0</v>
      </c>
      <c r="R430" s="97">
        <f>SUMIF(B:B,Table1[[#This Row],[Namn]],F:F)</f>
        <v>0</v>
      </c>
    </row>
    <row r="431" spans="1:18" x14ac:dyDescent="0.25">
      <c r="A431" s="97">
        <v>2011</v>
      </c>
      <c r="B431" s="98" t="s">
        <v>196</v>
      </c>
      <c r="C431" s="97">
        <v>5</v>
      </c>
      <c r="D431" s="99">
        <f>IFERROR(Table1[[#This Row],[MAT]]/Table1[[#This Row],[LAG MATCH]],"")</f>
        <v>0.20833333333333334</v>
      </c>
      <c r="E431" s="97">
        <v>0</v>
      </c>
      <c r="F431" s="97">
        <v>0</v>
      </c>
      <c r="G431" s="97">
        <v>0</v>
      </c>
      <c r="H431" s="97">
        <v>24</v>
      </c>
      <c r="I431" s="100">
        <f t="shared" si="12"/>
        <v>0</v>
      </c>
      <c r="J431" s="97">
        <f>Table1[[#This Row],[ÅR]]</f>
        <v>2011</v>
      </c>
      <c r="K431" s="97">
        <v>1993</v>
      </c>
      <c r="L431" s="97">
        <f>Table1[[#This Row],[ÅR]]-Table1[[#This Row],[FÖDD]]</f>
        <v>18</v>
      </c>
      <c r="M431" s="97">
        <v>3</v>
      </c>
      <c r="N431" s="97">
        <f>SUMIF(B:B,Table1[[#This Row],[Namn]],C:C)</f>
        <v>5</v>
      </c>
      <c r="O431" s="97">
        <f>COUNTIF(B:B,Table1[[#This Row],[Namn]])</f>
        <v>1</v>
      </c>
      <c r="P431" s="97">
        <f>SUMIF(B:B,Table1[[#This Row],[Namn]],G:G)</f>
        <v>0</v>
      </c>
      <c r="Q431" s="97">
        <f>SUMIF(B:B,Table1[[#This Row],[Namn]],E:E)</f>
        <v>0</v>
      </c>
      <c r="R431" s="97">
        <f>SUMIF(B:B,Table1[[#This Row],[Namn]],F:F)</f>
        <v>0</v>
      </c>
    </row>
    <row r="432" spans="1:18" x14ac:dyDescent="0.25">
      <c r="A432" s="97">
        <v>2011</v>
      </c>
      <c r="B432" s="98" t="s">
        <v>197</v>
      </c>
      <c r="C432" s="97">
        <v>4</v>
      </c>
      <c r="D432" s="99">
        <f>IFERROR(Table1[[#This Row],[MAT]]/Table1[[#This Row],[LAG MATCH]],"")</f>
        <v>0.16666666666666666</v>
      </c>
      <c r="E432" s="97">
        <v>0</v>
      </c>
      <c r="F432" s="97">
        <v>0</v>
      </c>
      <c r="G432" s="97">
        <v>0</v>
      </c>
      <c r="H432" s="97">
        <v>24</v>
      </c>
      <c r="I432" s="100">
        <f t="shared" si="12"/>
        <v>0</v>
      </c>
      <c r="J432" s="97">
        <f>Table1[[#This Row],[ÅR]]</f>
        <v>2011</v>
      </c>
      <c r="K432" s="97">
        <v>1992</v>
      </c>
      <c r="L432" s="97">
        <f>Table1[[#This Row],[ÅR]]-Table1[[#This Row],[FÖDD]]</f>
        <v>19</v>
      </c>
      <c r="M432" s="97">
        <v>3</v>
      </c>
      <c r="N432" s="97">
        <f>SUMIF(B:B,Table1[[#This Row],[Namn]],C:C)</f>
        <v>8</v>
      </c>
      <c r="O432" s="97">
        <f>COUNTIF(B:B,Table1[[#This Row],[Namn]])</f>
        <v>2</v>
      </c>
      <c r="P432" s="97">
        <f>SUMIF(B:B,Table1[[#This Row],[Namn]],G:G)</f>
        <v>0</v>
      </c>
      <c r="Q432" s="97">
        <f>SUMIF(B:B,Table1[[#This Row],[Namn]],E:E)</f>
        <v>0</v>
      </c>
      <c r="R432" s="97">
        <f>SUMIF(B:B,Table1[[#This Row],[Namn]],F:F)</f>
        <v>0</v>
      </c>
    </row>
    <row r="433" spans="1:18" x14ac:dyDescent="0.25">
      <c r="A433" s="97">
        <v>2011</v>
      </c>
      <c r="B433" s="98" t="s">
        <v>198</v>
      </c>
      <c r="C433" s="97">
        <v>4</v>
      </c>
      <c r="D433" s="99">
        <f>IFERROR(Table1[[#This Row],[MAT]]/Table1[[#This Row],[LAG MATCH]],"")</f>
        <v>0.16666666666666666</v>
      </c>
      <c r="E433" s="97">
        <v>0</v>
      </c>
      <c r="F433" s="97">
        <v>0</v>
      </c>
      <c r="G433" s="97">
        <v>0</v>
      </c>
      <c r="H433" s="97">
        <v>24</v>
      </c>
      <c r="I433" s="100">
        <f t="shared" si="12"/>
        <v>0</v>
      </c>
      <c r="J433" s="97">
        <f>Table1[[#This Row],[ÅR]]</f>
        <v>2011</v>
      </c>
      <c r="K433" s="97">
        <v>1991</v>
      </c>
      <c r="L433" s="97">
        <f>Table1[[#This Row],[ÅR]]-Table1[[#This Row],[FÖDD]]</f>
        <v>20</v>
      </c>
      <c r="M433" s="97">
        <v>3</v>
      </c>
      <c r="N433" s="97">
        <f>SUMIF(B:B,Table1[[#This Row],[Namn]],C:C)</f>
        <v>4</v>
      </c>
      <c r="O433" s="97">
        <f>COUNTIF(B:B,Table1[[#This Row],[Namn]])</f>
        <v>1</v>
      </c>
      <c r="P433" s="97">
        <f>SUMIF(B:B,Table1[[#This Row],[Namn]],G:G)</f>
        <v>0</v>
      </c>
      <c r="Q433" s="97">
        <f>SUMIF(B:B,Table1[[#This Row],[Namn]],E:E)</f>
        <v>0</v>
      </c>
      <c r="R433" s="97">
        <f>SUMIF(B:B,Table1[[#This Row],[Namn]],F:F)</f>
        <v>0</v>
      </c>
    </row>
    <row r="434" spans="1:18" x14ac:dyDescent="0.25">
      <c r="A434" s="97">
        <v>2011</v>
      </c>
      <c r="B434" s="98" t="s">
        <v>153</v>
      </c>
      <c r="C434" s="97">
        <v>3</v>
      </c>
      <c r="D434" s="99">
        <f>IFERROR(Table1[[#This Row],[MAT]]/Table1[[#This Row],[LAG MATCH]],"")</f>
        <v>0.125</v>
      </c>
      <c r="E434" s="97">
        <v>0</v>
      </c>
      <c r="F434" s="97">
        <v>0</v>
      </c>
      <c r="G434" s="97">
        <v>1</v>
      </c>
      <c r="H434" s="97">
        <v>24</v>
      </c>
      <c r="I434" s="100">
        <f t="shared" si="12"/>
        <v>0.33333333333333331</v>
      </c>
      <c r="J434" s="97">
        <f>Table1[[#This Row],[ÅR]]</f>
        <v>2011</v>
      </c>
      <c r="K434" s="97">
        <v>1992</v>
      </c>
      <c r="L434" s="97">
        <f>Table1[[#This Row],[ÅR]]-Table1[[#This Row],[FÖDD]]</f>
        <v>19</v>
      </c>
      <c r="M434" s="97">
        <v>3</v>
      </c>
      <c r="N434" s="97">
        <f>SUMIF(B:B,Table1[[#This Row],[Namn]],C:C)</f>
        <v>39</v>
      </c>
      <c r="O434" s="97">
        <f>COUNTIF(B:B,Table1[[#This Row],[Namn]])</f>
        <v>5</v>
      </c>
      <c r="P434" s="97">
        <f>SUMIF(B:B,Table1[[#This Row],[Namn]],G:G)</f>
        <v>11</v>
      </c>
      <c r="Q434" s="97">
        <f>SUMIF(B:B,Table1[[#This Row],[Namn]],E:E)</f>
        <v>3</v>
      </c>
      <c r="R434" s="97">
        <f>SUMIF(B:B,Table1[[#This Row],[Namn]],F:F)</f>
        <v>0</v>
      </c>
    </row>
    <row r="435" spans="1:18" x14ac:dyDescent="0.25">
      <c r="A435" s="97">
        <v>2011</v>
      </c>
      <c r="B435" s="98" t="s">
        <v>181</v>
      </c>
      <c r="C435" s="97">
        <v>2</v>
      </c>
      <c r="D435" s="99">
        <f>IFERROR(Table1[[#This Row],[MAT]]/Table1[[#This Row],[LAG MATCH]],"")</f>
        <v>8.3333333333333329E-2</v>
      </c>
      <c r="E435" s="97">
        <v>0</v>
      </c>
      <c r="F435" s="97">
        <v>0</v>
      </c>
      <c r="G435" s="97">
        <v>0</v>
      </c>
      <c r="H435" s="97">
        <v>24</v>
      </c>
      <c r="I435" s="100">
        <f t="shared" si="12"/>
        <v>0</v>
      </c>
      <c r="J435" s="97">
        <f>Table1[[#This Row],[ÅR]]</f>
        <v>2011</v>
      </c>
      <c r="K435" s="97">
        <v>1994</v>
      </c>
      <c r="L435" s="97">
        <f>Table1[[#This Row],[ÅR]]-Table1[[#This Row],[FÖDD]]</f>
        <v>17</v>
      </c>
      <c r="M435" s="97">
        <v>3</v>
      </c>
      <c r="N435" s="97">
        <f>SUMIF(B:B,Table1[[#This Row],[Namn]],C:C)</f>
        <v>9</v>
      </c>
      <c r="O435" s="97">
        <f>COUNTIF(B:B,Table1[[#This Row],[Namn]])</f>
        <v>2</v>
      </c>
      <c r="P435" s="97">
        <f>SUMIF(B:B,Table1[[#This Row],[Namn]],G:G)</f>
        <v>1</v>
      </c>
      <c r="Q435" s="97">
        <f>SUMIF(B:B,Table1[[#This Row],[Namn]],E:E)</f>
        <v>0</v>
      </c>
      <c r="R435" s="97">
        <f>SUMIF(B:B,Table1[[#This Row],[Namn]],F:F)</f>
        <v>0</v>
      </c>
    </row>
    <row r="436" spans="1:18" x14ac:dyDescent="0.25">
      <c r="A436" s="97">
        <v>2011</v>
      </c>
      <c r="B436" s="98" t="s">
        <v>168</v>
      </c>
      <c r="C436" s="97">
        <v>2</v>
      </c>
      <c r="D436" s="99">
        <f>IFERROR(Table1[[#This Row],[MAT]]/Table1[[#This Row],[LAG MATCH]],"")</f>
        <v>8.3333333333333329E-2</v>
      </c>
      <c r="E436" s="97">
        <v>0</v>
      </c>
      <c r="F436" s="97">
        <v>0</v>
      </c>
      <c r="G436" s="97">
        <v>0</v>
      </c>
      <c r="H436" s="97">
        <v>24</v>
      </c>
      <c r="I436" s="100">
        <f t="shared" si="12"/>
        <v>0</v>
      </c>
      <c r="J436" s="97">
        <f>Table1[[#This Row],[ÅR]]</f>
        <v>2011</v>
      </c>
      <c r="K436" s="97">
        <v>1969</v>
      </c>
      <c r="L436" s="97">
        <f>Table1[[#This Row],[ÅR]]-Table1[[#This Row],[FÖDD]]</f>
        <v>42</v>
      </c>
      <c r="M436" s="97">
        <v>3</v>
      </c>
      <c r="N436" s="97">
        <f>SUMIF(B:B,Table1[[#This Row],[Namn]],C:C)</f>
        <v>49</v>
      </c>
      <c r="O436" s="97">
        <f>COUNTIF(B:B,Table1[[#This Row],[Namn]])</f>
        <v>4</v>
      </c>
      <c r="P436" s="97">
        <f>SUMIF(B:B,Table1[[#This Row],[Namn]],G:G)</f>
        <v>0</v>
      </c>
      <c r="Q436" s="97">
        <f>SUMIF(B:B,Table1[[#This Row],[Namn]],E:E)</f>
        <v>2</v>
      </c>
      <c r="R436" s="97">
        <f>SUMIF(B:B,Table1[[#This Row],[Namn]],F:F)</f>
        <v>0</v>
      </c>
    </row>
    <row r="437" spans="1:18" x14ac:dyDescent="0.25">
      <c r="A437" s="97">
        <v>2011</v>
      </c>
      <c r="B437" s="98" t="s">
        <v>135</v>
      </c>
      <c r="C437" s="97">
        <v>1</v>
      </c>
      <c r="D437" s="99">
        <f>IFERROR(Table1[[#This Row],[MAT]]/Table1[[#This Row],[LAG MATCH]],"")</f>
        <v>4.1666666666666664E-2</v>
      </c>
      <c r="E437" s="97">
        <v>0</v>
      </c>
      <c r="F437" s="97">
        <v>0</v>
      </c>
      <c r="G437" s="97">
        <v>0</v>
      </c>
      <c r="H437" s="97">
        <v>24</v>
      </c>
      <c r="I437" s="100">
        <f t="shared" si="12"/>
        <v>0</v>
      </c>
      <c r="J437" s="97">
        <f>Table1[[#This Row],[ÅR]]</f>
        <v>2011</v>
      </c>
      <c r="K437" s="97">
        <v>1996</v>
      </c>
      <c r="L437" s="97">
        <f>Table1[[#This Row],[ÅR]]-Table1[[#This Row],[FÖDD]]</f>
        <v>15</v>
      </c>
      <c r="M437" s="97">
        <v>3</v>
      </c>
      <c r="N437" s="97">
        <f>SUMIF(B:B,Table1[[#This Row],[Namn]],C:C)</f>
        <v>60</v>
      </c>
      <c r="O437" s="97">
        <f>COUNTIF(B:B,Table1[[#This Row],[Namn]])</f>
        <v>7</v>
      </c>
      <c r="P437" s="97">
        <f>SUMIF(B:B,Table1[[#This Row],[Namn]],G:G)</f>
        <v>6</v>
      </c>
      <c r="Q437" s="97">
        <f>SUMIF(B:B,Table1[[#This Row],[Namn]],E:E)</f>
        <v>3</v>
      </c>
      <c r="R437" s="97">
        <f>SUMIF(B:B,Table1[[#This Row],[Namn]],F:F)</f>
        <v>0</v>
      </c>
    </row>
    <row r="438" spans="1:18" x14ac:dyDescent="0.25">
      <c r="A438" s="97">
        <v>2011</v>
      </c>
      <c r="B438" s="98" t="s">
        <v>199</v>
      </c>
      <c r="C438" s="97">
        <v>1</v>
      </c>
      <c r="D438" s="99">
        <f>IFERROR(Table1[[#This Row],[MAT]]/Table1[[#This Row],[LAG MATCH]],"")</f>
        <v>4.1666666666666664E-2</v>
      </c>
      <c r="E438" s="97">
        <v>0</v>
      </c>
      <c r="F438" s="97">
        <v>0</v>
      </c>
      <c r="G438" s="97">
        <v>0</v>
      </c>
      <c r="H438" s="97">
        <v>24</v>
      </c>
      <c r="I438" s="100">
        <f t="shared" si="12"/>
        <v>0</v>
      </c>
      <c r="J438" s="97">
        <f>Table1[[#This Row],[ÅR]]</f>
        <v>2011</v>
      </c>
      <c r="K438" s="97">
        <v>1992</v>
      </c>
      <c r="L438" s="97">
        <f>Table1[[#This Row],[ÅR]]-Table1[[#This Row],[FÖDD]]</f>
        <v>19</v>
      </c>
      <c r="M438" s="97">
        <v>3</v>
      </c>
      <c r="N438" s="97">
        <f>SUMIF(B:B,Table1[[#This Row],[Namn]],C:C)</f>
        <v>20</v>
      </c>
      <c r="O438" s="97">
        <f>COUNTIF(B:B,Table1[[#This Row],[Namn]])</f>
        <v>2</v>
      </c>
      <c r="P438" s="97">
        <f>SUMIF(B:B,Table1[[#This Row],[Namn]],G:G)</f>
        <v>0</v>
      </c>
      <c r="Q438" s="97">
        <f>SUMIF(B:B,Table1[[#This Row],[Namn]],E:E)</f>
        <v>3</v>
      </c>
      <c r="R438" s="97">
        <f>SUMIF(B:B,Table1[[#This Row],[Namn]],F:F)</f>
        <v>0</v>
      </c>
    </row>
    <row r="439" spans="1:18" x14ac:dyDescent="0.25">
      <c r="A439" s="97">
        <v>2011</v>
      </c>
      <c r="B439" s="98" t="s">
        <v>170</v>
      </c>
      <c r="C439" s="97">
        <v>1</v>
      </c>
      <c r="D439" s="99">
        <f>IFERROR(Table1[[#This Row],[MAT]]/Table1[[#This Row],[LAG MATCH]],"")</f>
        <v>4.1666666666666664E-2</v>
      </c>
      <c r="E439" s="97">
        <v>0</v>
      </c>
      <c r="F439" s="97">
        <v>0</v>
      </c>
      <c r="G439" s="97">
        <v>0</v>
      </c>
      <c r="H439" s="97">
        <v>24</v>
      </c>
      <c r="I439" s="100">
        <f t="shared" si="12"/>
        <v>0</v>
      </c>
      <c r="J439" s="97">
        <f>Table1[[#This Row],[ÅR]]</f>
        <v>2011</v>
      </c>
      <c r="K439" s="97">
        <v>1990</v>
      </c>
      <c r="L439" s="97">
        <f>Table1[[#This Row],[ÅR]]-Table1[[#This Row],[FÖDD]]</f>
        <v>21</v>
      </c>
      <c r="M439" s="97">
        <v>3</v>
      </c>
      <c r="N439" s="97">
        <f>SUMIF(B:B,Table1[[#This Row],[Namn]],C:C)</f>
        <v>35</v>
      </c>
      <c r="O439" s="97">
        <f>COUNTIF(B:B,Table1[[#This Row],[Namn]])</f>
        <v>4</v>
      </c>
      <c r="P439" s="97">
        <f>SUMIF(B:B,Table1[[#This Row],[Namn]],G:G)</f>
        <v>1</v>
      </c>
      <c r="Q439" s="97">
        <f>SUMIF(B:B,Table1[[#This Row],[Namn]],E:E)</f>
        <v>0</v>
      </c>
      <c r="R439" s="97">
        <f>SUMIF(B:B,Table1[[#This Row],[Namn]],F:F)</f>
        <v>0</v>
      </c>
    </row>
    <row r="440" spans="1:18" x14ac:dyDescent="0.25">
      <c r="A440" s="97">
        <v>2010</v>
      </c>
      <c r="B440" s="98" t="s">
        <v>190</v>
      </c>
      <c r="C440" s="97">
        <v>21</v>
      </c>
      <c r="D440" s="99">
        <f>IFERROR(Table1[[#This Row],[MAT]]/Table1[[#This Row],[LAG MATCH]],"")</f>
        <v>0.95454545454545459</v>
      </c>
      <c r="E440" s="97">
        <v>1</v>
      </c>
      <c r="F440" s="97">
        <v>0</v>
      </c>
      <c r="G440" s="97">
        <v>14</v>
      </c>
      <c r="H440" s="97">
        <v>22</v>
      </c>
      <c r="I440" s="100">
        <f t="shared" si="12"/>
        <v>0.66666666666666663</v>
      </c>
      <c r="J440" s="97">
        <f>Table1[[#This Row],[ÅR]]</f>
        <v>2010</v>
      </c>
      <c r="K440" s="97">
        <v>1992</v>
      </c>
      <c r="L440" s="97">
        <f>Table1[[#This Row],[ÅR]]-Table1[[#This Row],[FÖDD]]</f>
        <v>18</v>
      </c>
      <c r="M440" s="97">
        <v>3</v>
      </c>
      <c r="N440" s="97">
        <f>SUMIF(B:B,Table1[[#This Row],[Namn]],C:C)</f>
        <v>38</v>
      </c>
      <c r="O440" s="97">
        <f>COUNTIF(B:B,Table1[[#This Row],[Namn]])</f>
        <v>2</v>
      </c>
      <c r="P440" s="97">
        <f>SUMIF(B:B,Table1[[#This Row],[Namn]],G:G)</f>
        <v>23</v>
      </c>
      <c r="Q440" s="97">
        <f>SUMIF(B:B,Table1[[#This Row],[Namn]],E:E)</f>
        <v>1</v>
      </c>
      <c r="R440" s="97">
        <f>SUMIF(B:B,Table1[[#This Row],[Namn]],F:F)</f>
        <v>0</v>
      </c>
    </row>
    <row r="441" spans="1:18" x14ac:dyDescent="0.25">
      <c r="A441" s="97">
        <v>2010</v>
      </c>
      <c r="B441" s="98" t="s">
        <v>184</v>
      </c>
      <c r="C441" s="97">
        <v>21</v>
      </c>
      <c r="D441" s="99">
        <f>IFERROR(Table1[[#This Row],[MAT]]/Table1[[#This Row],[LAG MATCH]],"")</f>
        <v>0.95454545454545459</v>
      </c>
      <c r="E441" s="97">
        <v>0</v>
      </c>
      <c r="F441" s="97">
        <v>0</v>
      </c>
      <c r="G441" s="97">
        <v>8</v>
      </c>
      <c r="H441" s="97">
        <v>22</v>
      </c>
      <c r="I441" s="100">
        <f t="shared" si="12"/>
        <v>0.38095238095238093</v>
      </c>
      <c r="J441" s="97">
        <f>Table1[[#This Row],[ÅR]]</f>
        <v>2010</v>
      </c>
      <c r="K441" s="97">
        <v>1992</v>
      </c>
      <c r="L441" s="97">
        <f>Table1[[#This Row],[ÅR]]-Table1[[#This Row],[FÖDD]]</f>
        <v>18</v>
      </c>
      <c r="M441" s="97">
        <v>3</v>
      </c>
      <c r="N441" s="97">
        <f>SUMIF(B:B,Table1[[#This Row],[Namn]],C:C)</f>
        <v>45</v>
      </c>
      <c r="O441" s="97">
        <f>COUNTIF(B:B,Table1[[#This Row],[Namn]])</f>
        <v>2</v>
      </c>
      <c r="P441" s="97">
        <f>SUMIF(B:B,Table1[[#This Row],[Namn]],G:G)</f>
        <v>10</v>
      </c>
      <c r="Q441" s="97">
        <f>SUMIF(B:B,Table1[[#This Row],[Namn]],E:E)</f>
        <v>0</v>
      </c>
      <c r="R441" s="97">
        <f>SUMIF(B:B,Table1[[#This Row],[Namn]],F:F)</f>
        <v>0</v>
      </c>
    </row>
    <row r="442" spans="1:18" x14ac:dyDescent="0.25">
      <c r="A442" s="97">
        <v>2010</v>
      </c>
      <c r="B442" s="98" t="s">
        <v>199</v>
      </c>
      <c r="C442" s="97">
        <v>19</v>
      </c>
      <c r="D442" s="99">
        <f>IFERROR(Table1[[#This Row],[MAT]]/Table1[[#This Row],[LAG MATCH]],"")</f>
        <v>0.86363636363636365</v>
      </c>
      <c r="E442" s="97">
        <v>3</v>
      </c>
      <c r="F442" s="97">
        <v>0</v>
      </c>
      <c r="G442" s="97">
        <v>0</v>
      </c>
      <c r="H442" s="97">
        <v>22</v>
      </c>
      <c r="I442" s="100">
        <f t="shared" si="12"/>
        <v>0</v>
      </c>
      <c r="J442" s="97">
        <f>Table1[[#This Row],[ÅR]]</f>
        <v>2010</v>
      </c>
      <c r="K442" s="97">
        <v>1992</v>
      </c>
      <c r="L442" s="97">
        <f>Table1[[#This Row],[ÅR]]-Table1[[#This Row],[FÖDD]]</f>
        <v>18</v>
      </c>
      <c r="M442" s="97">
        <v>3</v>
      </c>
      <c r="N442" s="97">
        <f>SUMIF(B:B,Table1[[#This Row],[Namn]],C:C)</f>
        <v>20</v>
      </c>
      <c r="O442" s="97">
        <f>COUNTIF(B:B,Table1[[#This Row],[Namn]])</f>
        <v>2</v>
      </c>
      <c r="P442" s="97">
        <f>SUMIF(B:B,Table1[[#This Row],[Namn]],G:G)</f>
        <v>0</v>
      </c>
      <c r="Q442" s="97">
        <f>SUMIF(B:B,Table1[[#This Row],[Namn]],E:E)</f>
        <v>3</v>
      </c>
      <c r="R442" s="97">
        <f>SUMIF(B:B,Table1[[#This Row],[Namn]],F:F)</f>
        <v>0</v>
      </c>
    </row>
    <row r="443" spans="1:18" x14ac:dyDescent="0.25">
      <c r="A443" s="97">
        <v>2010</v>
      </c>
      <c r="B443" s="98" t="s">
        <v>183</v>
      </c>
      <c r="C443" s="97">
        <v>19</v>
      </c>
      <c r="D443" s="99">
        <f>IFERROR(Table1[[#This Row],[MAT]]/Table1[[#This Row],[LAG MATCH]],"")</f>
        <v>0.86363636363636365</v>
      </c>
      <c r="E443" s="97">
        <v>0</v>
      </c>
      <c r="F443" s="97">
        <v>0</v>
      </c>
      <c r="G443" s="97">
        <v>0</v>
      </c>
      <c r="H443" s="97">
        <v>22</v>
      </c>
      <c r="I443" s="100">
        <f t="shared" si="12"/>
        <v>0</v>
      </c>
      <c r="J443" s="97">
        <f>Table1[[#This Row],[ÅR]]</f>
        <v>2010</v>
      </c>
      <c r="K443" s="97">
        <v>1991</v>
      </c>
      <c r="L443" s="97">
        <f>Table1[[#This Row],[ÅR]]-Table1[[#This Row],[FÖDD]]</f>
        <v>19</v>
      </c>
      <c r="M443" s="97">
        <v>3</v>
      </c>
      <c r="N443" s="97">
        <f>SUMIF(B:B,Table1[[#This Row],[Namn]],C:C)</f>
        <v>43</v>
      </c>
      <c r="O443" s="97">
        <f>COUNTIF(B:B,Table1[[#This Row],[Namn]])</f>
        <v>2</v>
      </c>
      <c r="P443" s="97">
        <f>SUMIF(B:B,Table1[[#This Row],[Namn]],G:G)</f>
        <v>3</v>
      </c>
      <c r="Q443" s="97">
        <f>SUMIF(B:B,Table1[[#This Row],[Namn]],E:E)</f>
        <v>1</v>
      </c>
      <c r="R443" s="97">
        <f>SUMIF(B:B,Table1[[#This Row],[Namn]],F:F)</f>
        <v>0</v>
      </c>
    </row>
    <row r="444" spans="1:18" x14ac:dyDescent="0.25">
      <c r="A444" s="97">
        <v>2010</v>
      </c>
      <c r="B444" s="98" t="s">
        <v>189</v>
      </c>
      <c r="C444" s="97">
        <v>17</v>
      </c>
      <c r="D444" s="99">
        <f>IFERROR(Table1[[#This Row],[MAT]]/Table1[[#This Row],[LAG MATCH]],"")</f>
        <v>0.77272727272727271</v>
      </c>
      <c r="E444" s="97">
        <v>3</v>
      </c>
      <c r="F444" s="97">
        <v>0</v>
      </c>
      <c r="G444" s="97">
        <v>3</v>
      </c>
      <c r="H444" s="97">
        <v>22</v>
      </c>
      <c r="I444" s="100">
        <f t="shared" si="12"/>
        <v>0.17647058823529413</v>
      </c>
      <c r="J444" s="97">
        <f>Table1[[#This Row],[ÅR]]</f>
        <v>2010</v>
      </c>
      <c r="K444" s="97">
        <v>1990</v>
      </c>
      <c r="L444" s="97">
        <f>Table1[[#This Row],[ÅR]]-Table1[[#This Row],[FÖDD]]</f>
        <v>20</v>
      </c>
      <c r="M444" s="97">
        <v>3</v>
      </c>
      <c r="N444" s="97">
        <f>SUMIF(B:B,Table1[[#This Row],[Namn]],C:C)</f>
        <v>36</v>
      </c>
      <c r="O444" s="97">
        <f>COUNTIF(B:B,Table1[[#This Row],[Namn]])</f>
        <v>2</v>
      </c>
      <c r="P444" s="97">
        <f>SUMIF(B:B,Table1[[#This Row],[Namn]],G:G)</f>
        <v>5</v>
      </c>
      <c r="Q444" s="97">
        <f>SUMIF(B:B,Table1[[#This Row],[Namn]],E:E)</f>
        <v>4</v>
      </c>
      <c r="R444" s="97">
        <f>SUMIF(B:B,Table1[[#This Row],[Namn]],F:F)</f>
        <v>0</v>
      </c>
    </row>
    <row r="445" spans="1:18" x14ac:dyDescent="0.25">
      <c r="A445" s="97">
        <v>2010</v>
      </c>
      <c r="B445" s="98" t="s">
        <v>185</v>
      </c>
      <c r="C445" s="97">
        <v>17</v>
      </c>
      <c r="D445" s="99">
        <f>IFERROR(Table1[[#This Row],[MAT]]/Table1[[#This Row],[LAG MATCH]],"")</f>
        <v>0.77272727272727271</v>
      </c>
      <c r="E445" s="97">
        <v>1</v>
      </c>
      <c r="F445" s="97">
        <v>0</v>
      </c>
      <c r="G445" s="97">
        <v>1</v>
      </c>
      <c r="H445" s="97">
        <v>22</v>
      </c>
      <c r="I445" s="100">
        <f t="shared" si="12"/>
        <v>5.8823529411764705E-2</v>
      </c>
      <c r="J445" s="97">
        <f>Table1[[#This Row],[ÅR]]</f>
        <v>2010</v>
      </c>
      <c r="K445" s="97">
        <v>1990</v>
      </c>
      <c r="L445" s="97">
        <f>Table1[[#This Row],[ÅR]]-Table1[[#This Row],[FÖDD]]</f>
        <v>20</v>
      </c>
      <c r="M445" s="97">
        <v>3</v>
      </c>
      <c r="N445" s="97">
        <f>SUMIF(B:B,Table1[[#This Row],[Namn]],C:C)</f>
        <v>41</v>
      </c>
      <c r="O445" s="97">
        <f>COUNTIF(B:B,Table1[[#This Row],[Namn]])</f>
        <v>2</v>
      </c>
      <c r="P445" s="97">
        <f>SUMIF(B:B,Table1[[#This Row],[Namn]],G:G)</f>
        <v>2</v>
      </c>
      <c r="Q445" s="97">
        <f>SUMIF(B:B,Table1[[#This Row],[Namn]],E:E)</f>
        <v>3</v>
      </c>
      <c r="R445" s="97">
        <f>SUMIF(B:B,Table1[[#This Row],[Namn]],F:F)</f>
        <v>0</v>
      </c>
    </row>
    <row r="446" spans="1:18" x14ac:dyDescent="0.25">
      <c r="A446" s="97">
        <v>2010</v>
      </c>
      <c r="B446" s="98" t="s">
        <v>200</v>
      </c>
      <c r="C446" s="97">
        <v>16</v>
      </c>
      <c r="D446" s="99">
        <f>IFERROR(Table1[[#This Row],[MAT]]/Table1[[#This Row],[LAG MATCH]],"")</f>
        <v>0.72727272727272729</v>
      </c>
      <c r="E446" s="97">
        <v>0</v>
      </c>
      <c r="F446" s="97">
        <v>0</v>
      </c>
      <c r="G446" s="97">
        <v>0</v>
      </c>
      <c r="H446" s="97">
        <v>22</v>
      </c>
      <c r="I446" s="100">
        <f t="shared" si="12"/>
        <v>0</v>
      </c>
      <c r="J446" s="97">
        <f>Table1[[#This Row],[ÅR]]</f>
        <v>2010</v>
      </c>
      <c r="K446" s="97"/>
      <c r="L446" s="97"/>
      <c r="M446" s="97">
        <v>3</v>
      </c>
      <c r="N446" s="97">
        <f>SUMIF(B:B,Table1[[#This Row],[Namn]],C:C)</f>
        <v>16</v>
      </c>
      <c r="O446" s="97">
        <f>COUNTIF(B:B,Table1[[#This Row],[Namn]])</f>
        <v>1</v>
      </c>
      <c r="P446" s="97">
        <f>SUMIF(B:B,Table1[[#This Row],[Namn]],G:G)</f>
        <v>0</v>
      </c>
      <c r="Q446" s="97">
        <f>SUMIF(B:B,Table1[[#This Row],[Namn]],E:E)</f>
        <v>0</v>
      </c>
      <c r="R446" s="97">
        <f>SUMIF(B:B,Table1[[#This Row],[Namn]],F:F)</f>
        <v>0</v>
      </c>
    </row>
    <row r="447" spans="1:18" x14ac:dyDescent="0.25">
      <c r="A447" s="97">
        <v>2010</v>
      </c>
      <c r="B447" s="98" t="s">
        <v>191</v>
      </c>
      <c r="C447" s="97">
        <v>15</v>
      </c>
      <c r="D447" s="99">
        <f>IFERROR(Table1[[#This Row],[MAT]]/Table1[[#This Row],[LAG MATCH]],"")</f>
        <v>0.68181818181818177</v>
      </c>
      <c r="E447" s="97">
        <v>1</v>
      </c>
      <c r="F447" s="97">
        <v>0</v>
      </c>
      <c r="G447" s="97">
        <v>0</v>
      </c>
      <c r="H447" s="97">
        <v>22</v>
      </c>
      <c r="I447" s="100">
        <f t="shared" si="12"/>
        <v>0</v>
      </c>
      <c r="J447" s="97">
        <f>Table1[[#This Row],[ÅR]]</f>
        <v>2010</v>
      </c>
      <c r="K447" s="97">
        <v>1991</v>
      </c>
      <c r="L447" s="97">
        <f>Table1[[#This Row],[ÅR]]-Table1[[#This Row],[FÖDD]]</f>
        <v>19</v>
      </c>
      <c r="M447" s="97">
        <v>3</v>
      </c>
      <c r="N447" s="97">
        <f>SUMIF(B:B,Table1[[#This Row],[Namn]],C:C)</f>
        <v>29</v>
      </c>
      <c r="O447" s="97">
        <f>COUNTIF(B:B,Table1[[#This Row],[Namn]])</f>
        <v>2</v>
      </c>
      <c r="P447" s="97">
        <f>SUMIF(B:B,Table1[[#This Row],[Namn]],G:G)</f>
        <v>1</v>
      </c>
      <c r="Q447" s="97">
        <f>SUMIF(B:B,Table1[[#This Row],[Namn]],E:E)</f>
        <v>2</v>
      </c>
      <c r="R447" s="97">
        <f>SUMIF(B:B,Table1[[#This Row],[Namn]],F:F)</f>
        <v>0</v>
      </c>
    </row>
    <row r="448" spans="1:18" x14ac:dyDescent="0.25">
      <c r="A448" s="97">
        <v>2010</v>
      </c>
      <c r="B448" s="98" t="s">
        <v>193</v>
      </c>
      <c r="C448" s="97">
        <v>14</v>
      </c>
      <c r="D448" s="99">
        <f>IFERROR(Table1[[#This Row],[MAT]]/Table1[[#This Row],[LAG MATCH]],"")</f>
        <v>0.63636363636363635</v>
      </c>
      <c r="E448" s="97">
        <v>0</v>
      </c>
      <c r="F448" s="97">
        <v>0</v>
      </c>
      <c r="G448" s="97">
        <v>0</v>
      </c>
      <c r="H448" s="97">
        <v>22</v>
      </c>
      <c r="I448" s="100">
        <f t="shared" si="12"/>
        <v>0</v>
      </c>
      <c r="J448" s="97">
        <f>Table1[[#This Row],[ÅR]]</f>
        <v>2010</v>
      </c>
      <c r="K448" s="97">
        <v>1990</v>
      </c>
      <c r="L448" s="97">
        <f>Table1[[#This Row],[ÅR]]-Table1[[#This Row],[FÖDD]]</f>
        <v>20</v>
      </c>
      <c r="M448" s="97">
        <v>3</v>
      </c>
      <c r="N448" s="97">
        <f>SUMIF(B:B,Table1[[#This Row],[Namn]],C:C)</f>
        <v>23</v>
      </c>
      <c r="O448" s="97">
        <f>COUNTIF(B:B,Table1[[#This Row],[Namn]])</f>
        <v>2</v>
      </c>
      <c r="P448" s="97">
        <f>SUMIF(B:B,Table1[[#This Row],[Namn]],G:G)</f>
        <v>1</v>
      </c>
      <c r="Q448" s="97">
        <f>SUMIF(B:B,Table1[[#This Row],[Namn]],E:E)</f>
        <v>0</v>
      </c>
      <c r="R448" s="97">
        <f>SUMIF(B:B,Table1[[#This Row],[Namn]],F:F)</f>
        <v>0</v>
      </c>
    </row>
    <row r="449" spans="1:18" x14ac:dyDescent="0.25">
      <c r="A449" s="97">
        <v>2010</v>
      </c>
      <c r="B449" s="98" t="s">
        <v>194</v>
      </c>
      <c r="C449" s="97">
        <v>13</v>
      </c>
      <c r="D449" s="99">
        <f>IFERROR(Table1[[#This Row],[MAT]]/Table1[[#This Row],[LAG MATCH]],"")</f>
        <v>0.59090909090909094</v>
      </c>
      <c r="E449" s="97">
        <v>0</v>
      </c>
      <c r="F449" s="97">
        <v>0</v>
      </c>
      <c r="G449" s="97">
        <v>8</v>
      </c>
      <c r="H449" s="97">
        <v>22</v>
      </c>
      <c r="I449" s="100">
        <f t="shared" si="12"/>
        <v>0.61538461538461542</v>
      </c>
      <c r="J449" s="97">
        <f>Table1[[#This Row],[ÅR]]</f>
        <v>2010</v>
      </c>
      <c r="K449" s="97">
        <v>1992</v>
      </c>
      <c r="L449" s="97">
        <f>Table1[[#This Row],[ÅR]]-Table1[[#This Row],[FÖDD]]</f>
        <v>18</v>
      </c>
      <c r="M449" s="97">
        <v>3</v>
      </c>
      <c r="N449" s="97">
        <f>SUMIF(B:B,Table1[[#This Row],[Namn]],C:C)</f>
        <v>21</v>
      </c>
      <c r="O449" s="97">
        <f>COUNTIF(B:B,Table1[[#This Row],[Namn]])</f>
        <v>2</v>
      </c>
      <c r="P449" s="97">
        <f>SUMIF(B:B,Table1[[#This Row],[Namn]],G:G)</f>
        <v>10</v>
      </c>
      <c r="Q449" s="97">
        <f>SUMIF(B:B,Table1[[#This Row],[Namn]],E:E)</f>
        <v>2</v>
      </c>
      <c r="R449" s="97">
        <f>SUMIF(B:B,Table1[[#This Row],[Namn]],F:F)</f>
        <v>0</v>
      </c>
    </row>
    <row r="450" spans="1:18" x14ac:dyDescent="0.25">
      <c r="A450" s="97">
        <v>2010</v>
      </c>
      <c r="B450" s="98" t="s">
        <v>201</v>
      </c>
      <c r="C450" s="97">
        <v>10</v>
      </c>
      <c r="D450" s="99">
        <f>IFERROR(Table1[[#This Row],[MAT]]/Table1[[#This Row],[LAG MATCH]],"")</f>
        <v>0.45454545454545453</v>
      </c>
      <c r="E450" s="97">
        <v>0</v>
      </c>
      <c r="F450" s="97">
        <v>0</v>
      </c>
      <c r="G450" s="97">
        <v>0</v>
      </c>
      <c r="H450" s="97">
        <v>22</v>
      </c>
      <c r="I450" s="100">
        <f t="shared" si="12"/>
        <v>0</v>
      </c>
      <c r="J450" s="97">
        <f>Table1[[#This Row],[ÅR]]</f>
        <v>2010</v>
      </c>
      <c r="K450" s="97">
        <v>1992</v>
      </c>
      <c r="L450" s="97">
        <f>Table1[[#This Row],[ÅR]]-Table1[[#This Row],[FÖDD]]</f>
        <v>18</v>
      </c>
      <c r="M450" s="97">
        <v>3</v>
      </c>
      <c r="N450" s="97">
        <f>SUMIF(B:B,Table1[[#This Row],[Namn]],C:C)</f>
        <v>10</v>
      </c>
      <c r="O450" s="97">
        <f>COUNTIF(B:B,Table1[[#This Row],[Namn]])</f>
        <v>1</v>
      </c>
      <c r="P450" s="97">
        <f>SUMIF(B:B,Table1[[#This Row],[Namn]],G:G)</f>
        <v>0</v>
      </c>
      <c r="Q450" s="97">
        <f>SUMIF(B:B,Table1[[#This Row],[Namn]],E:E)</f>
        <v>0</v>
      </c>
      <c r="R450" s="97">
        <f>SUMIF(B:B,Table1[[#This Row],[Namn]],F:F)</f>
        <v>0</v>
      </c>
    </row>
    <row r="451" spans="1:18" x14ac:dyDescent="0.25">
      <c r="A451" s="97">
        <v>2010</v>
      </c>
      <c r="B451" s="98" t="s">
        <v>202</v>
      </c>
      <c r="C451" s="97">
        <v>10</v>
      </c>
      <c r="D451" s="99">
        <f>IFERROR(Table1[[#This Row],[MAT]]/Table1[[#This Row],[LAG MATCH]],"")</f>
        <v>0.45454545454545453</v>
      </c>
      <c r="E451" s="97">
        <v>0</v>
      </c>
      <c r="F451" s="97">
        <v>0</v>
      </c>
      <c r="G451" s="97">
        <v>0</v>
      </c>
      <c r="H451" s="97">
        <v>22</v>
      </c>
      <c r="I451" s="100">
        <f t="shared" si="12"/>
        <v>0</v>
      </c>
      <c r="J451" s="97">
        <f>Table1[[#This Row],[ÅR]]</f>
        <v>2010</v>
      </c>
      <c r="K451" s="97">
        <v>1970</v>
      </c>
      <c r="L451" s="97">
        <f>Table1[[#This Row],[ÅR]]-Table1[[#This Row],[FÖDD]]</f>
        <v>40</v>
      </c>
      <c r="M451" s="97">
        <v>3</v>
      </c>
      <c r="N451" s="97">
        <f>SUMIF(B:B,Table1[[#This Row],[Namn]],C:C)</f>
        <v>10</v>
      </c>
      <c r="O451" s="97">
        <f>COUNTIF(B:B,Table1[[#This Row],[Namn]])</f>
        <v>1</v>
      </c>
      <c r="P451" s="97">
        <f>SUMIF(B:B,Table1[[#This Row],[Namn]],G:G)</f>
        <v>0</v>
      </c>
      <c r="Q451" s="97">
        <f>SUMIF(B:B,Table1[[#This Row],[Namn]],E:E)</f>
        <v>0</v>
      </c>
      <c r="R451" s="97">
        <f>SUMIF(B:B,Table1[[#This Row],[Namn]],F:F)</f>
        <v>0</v>
      </c>
    </row>
    <row r="452" spans="1:18" x14ac:dyDescent="0.25">
      <c r="A452" s="97">
        <v>2010</v>
      </c>
      <c r="B452" s="98" t="s">
        <v>203</v>
      </c>
      <c r="C452" s="97">
        <v>8</v>
      </c>
      <c r="D452" s="99">
        <f>IFERROR(Table1[[#This Row],[MAT]]/Table1[[#This Row],[LAG MATCH]],"")</f>
        <v>0.36363636363636365</v>
      </c>
      <c r="E452" s="97">
        <v>1</v>
      </c>
      <c r="F452" s="97">
        <v>0</v>
      </c>
      <c r="G452" s="97">
        <v>0</v>
      </c>
      <c r="H452" s="97">
        <v>22</v>
      </c>
      <c r="I452" s="100">
        <f t="shared" si="12"/>
        <v>0</v>
      </c>
      <c r="J452" s="97">
        <f>Table1[[#This Row],[ÅR]]</f>
        <v>2010</v>
      </c>
      <c r="K452" s="97">
        <v>1991</v>
      </c>
      <c r="L452" s="97">
        <f>Table1[[#This Row],[ÅR]]-Table1[[#This Row],[FÖDD]]</f>
        <v>19</v>
      </c>
      <c r="M452" s="97">
        <v>3</v>
      </c>
      <c r="N452" s="97">
        <f>SUMIF(B:B,Table1[[#This Row],[Namn]],C:C)</f>
        <v>8</v>
      </c>
      <c r="O452" s="97">
        <f>COUNTIF(B:B,Table1[[#This Row],[Namn]])</f>
        <v>1</v>
      </c>
      <c r="P452" s="97">
        <f>SUMIF(B:B,Table1[[#This Row],[Namn]],G:G)</f>
        <v>0</v>
      </c>
      <c r="Q452" s="97">
        <f>SUMIF(B:B,Table1[[#This Row],[Namn]],E:E)</f>
        <v>1</v>
      </c>
      <c r="R452" s="97">
        <f>SUMIF(B:B,Table1[[#This Row],[Namn]],F:F)</f>
        <v>0</v>
      </c>
    </row>
    <row r="453" spans="1:18" x14ac:dyDescent="0.25">
      <c r="A453" s="97">
        <v>2010</v>
      </c>
      <c r="B453" s="98" t="s">
        <v>109</v>
      </c>
      <c r="C453" s="97">
        <v>8</v>
      </c>
      <c r="D453" s="99">
        <f>IFERROR(Table1[[#This Row],[MAT]]/Table1[[#This Row],[LAG MATCH]],"")</f>
        <v>0.36363636363636365</v>
      </c>
      <c r="E453" s="97">
        <v>0</v>
      </c>
      <c r="F453" s="97">
        <v>0</v>
      </c>
      <c r="G453" s="97">
        <v>0</v>
      </c>
      <c r="H453" s="97">
        <v>22</v>
      </c>
      <c r="I453" s="100">
        <f t="shared" si="12"/>
        <v>0</v>
      </c>
      <c r="J453" s="97">
        <f>Table1[[#This Row],[ÅR]]</f>
        <v>2010</v>
      </c>
      <c r="K453" s="97">
        <v>1989</v>
      </c>
      <c r="L453" s="97">
        <f>Table1[[#This Row],[ÅR]]-Table1[[#This Row],[FÖDD]]</f>
        <v>21</v>
      </c>
      <c r="M453" s="97">
        <v>3</v>
      </c>
      <c r="N453" s="97">
        <f>SUMIF(B:B,Table1[[#This Row],[Namn]],C:C)</f>
        <v>39</v>
      </c>
      <c r="O453" s="97">
        <f>COUNTIF(B:B,Table1[[#This Row],[Namn]])</f>
        <v>4</v>
      </c>
      <c r="P453" s="97">
        <f>SUMIF(B:B,Table1[[#This Row],[Namn]],G:G)</f>
        <v>1</v>
      </c>
      <c r="Q453" s="97">
        <f>SUMIF(B:B,Table1[[#This Row],[Namn]],E:E)</f>
        <v>1</v>
      </c>
      <c r="R453" s="97">
        <f>SUMIF(B:B,Table1[[#This Row],[Namn]],F:F)</f>
        <v>0</v>
      </c>
    </row>
    <row r="454" spans="1:18" x14ac:dyDescent="0.25">
      <c r="A454" s="97">
        <v>2010</v>
      </c>
      <c r="B454" s="98" t="s">
        <v>204</v>
      </c>
      <c r="C454" s="97">
        <v>7</v>
      </c>
      <c r="D454" s="99">
        <f>IFERROR(Table1[[#This Row],[MAT]]/Table1[[#This Row],[LAG MATCH]],"")</f>
        <v>0.31818181818181818</v>
      </c>
      <c r="E454" s="97">
        <v>0</v>
      </c>
      <c r="F454" s="97">
        <v>0</v>
      </c>
      <c r="G454" s="97">
        <v>1</v>
      </c>
      <c r="H454" s="97">
        <v>22</v>
      </c>
      <c r="I454" s="100">
        <f t="shared" si="12"/>
        <v>0.14285714285714285</v>
      </c>
      <c r="J454" s="97">
        <f>Table1[[#This Row],[ÅR]]</f>
        <v>2010</v>
      </c>
      <c r="K454" s="97">
        <v>1992</v>
      </c>
      <c r="L454" s="97">
        <f>Table1[[#This Row],[ÅR]]-Table1[[#This Row],[FÖDD]]</f>
        <v>18</v>
      </c>
      <c r="M454" s="97">
        <v>3</v>
      </c>
      <c r="N454" s="97">
        <f>SUMIF(B:B,Table1[[#This Row],[Namn]],C:C)</f>
        <v>7</v>
      </c>
      <c r="O454" s="97">
        <f>COUNTIF(B:B,Table1[[#This Row],[Namn]])</f>
        <v>1</v>
      </c>
      <c r="P454" s="97">
        <f>SUMIF(B:B,Table1[[#This Row],[Namn]],G:G)</f>
        <v>1</v>
      </c>
      <c r="Q454" s="97">
        <f>SUMIF(B:B,Table1[[#This Row],[Namn]],E:E)</f>
        <v>0</v>
      </c>
      <c r="R454" s="97">
        <f>SUMIF(B:B,Table1[[#This Row],[Namn]],F:F)</f>
        <v>0</v>
      </c>
    </row>
    <row r="455" spans="1:18" x14ac:dyDescent="0.25">
      <c r="A455" s="97">
        <v>2010</v>
      </c>
      <c r="B455" s="98" t="s">
        <v>188</v>
      </c>
      <c r="C455" s="97">
        <v>6</v>
      </c>
      <c r="D455" s="99">
        <f>IFERROR(Table1[[#This Row],[MAT]]/Table1[[#This Row],[LAG MATCH]],"")</f>
        <v>0.27272727272727271</v>
      </c>
      <c r="E455" s="97">
        <v>0</v>
      </c>
      <c r="F455" s="97">
        <v>0</v>
      </c>
      <c r="G455" s="97">
        <v>0</v>
      </c>
      <c r="H455" s="97">
        <v>22</v>
      </c>
      <c r="I455" s="100">
        <f t="shared" si="12"/>
        <v>0</v>
      </c>
      <c r="J455" s="97">
        <f>Table1[[#This Row],[ÅR]]</f>
        <v>2010</v>
      </c>
      <c r="K455" s="97">
        <v>1989</v>
      </c>
      <c r="L455" s="97">
        <f>Table1[[#This Row],[ÅR]]-Table1[[#This Row],[FÖDD]]</f>
        <v>21</v>
      </c>
      <c r="M455" s="97">
        <v>3</v>
      </c>
      <c r="N455" s="97">
        <f>SUMIF(B:B,Table1[[#This Row],[Namn]],C:C)</f>
        <v>27</v>
      </c>
      <c r="O455" s="97">
        <f>COUNTIF(B:B,Table1[[#This Row],[Namn]])</f>
        <v>2</v>
      </c>
      <c r="P455" s="97">
        <f>SUMIF(B:B,Table1[[#This Row],[Namn]],G:G)</f>
        <v>3</v>
      </c>
      <c r="Q455" s="97">
        <f>SUMIF(B:B,Table1[[#This Row],[Namn]],E:E)</f>
        <v>3</v>
      </c>
      <c r="R455" s="97">
        <f>SUMIF(B:B,Table1[[#This Row],[Namn]],F:F)</f>
        <v>0</v>
      </c>
    </row>
    <row r="456" spans="1:18" x14ac:dyDescent="0.25">
      <c r="A456" s="97">
        <v>2010</v>
      </c>
      <c r="B456" s="98" t="s">
        <v>205</v>
      </c>
      <c r="C456" s="97">
        <v>4</v>
      </c>
      <c r="D456" s="99">
        <f>IFERROR(Table1[[#This Row],[MAT]]/Table1[[#This Row],[LAG MATCH]],"")</f>
        <v>0.18181818181818182</v>
      </c>
      <c r="E456" s="97">
        <v>1</v>
      </c>
      <c r="F456" s="97">
        <v>0</v>
      </c>
      <c r="G456" s="97">
        <v>3</v>
      </c>
      <c r="H456" s="97">
        <v>22</v>
      </c>
      <c r="I456" s="100">
        <f t="shared" si="12"/>
        <v>0.75</v>
      </c>
      <c r="J456" s="97">
        <f>Table1[[#This Row],[ÅR]]</f>
        <v>2010</v>
      </c>
      <c r="K456" s="97">
        <v>1989</v>
      </c>
      <c r="L456" s="97">
        <f>Table1[[#This Row],[ÅR]]-Table1[[#This Row],[FÖDD]]</f>
        <v>21</v>
      </c>
      <c r="M456" s="97">
        <v>3</v>
      </c>
      <c r="N456" s="97">
        <f>SUMIF(B:B,Table1[[#This Row],[Namn]],C:C)</f>
        <v>4</v>
      </c>
      <c r="O456" s="97">
        <f>COUNTIF(B:B,Table1[[#This Row],[Namn]])</f>
        <v>1</v>
      </c>
      <c r="P456" s="97">
        <f>SUMIF(B:B,Table1[[#This Row],[Namn]],G:G)</f>
        <v>3</v>
      </c>
      <c r="Q456" s="97">
        <f>SUMIF(B:B,Table1[[#This Row],[Namn]],E:E)</f>
        <v>1</v>
      </c>
      <c r="R456" s="97">
        <f>SUMIF(B:B,Table1[[#This Row],[Namn]],F:F)</f>
        <v>0</v>
      </c>
    </row>
    <row r="457" spans="1:18" x14ac:dyDescent="0.25">
      <c r="A457" s="97">
        <v>2010</v>
      </c>
      <c r="B457" s="98" t="s">
        <v>206</v>
      </c>
      <c r="C457" s="97">
        <v>4</v>
      </c>
      <c r="D457" s="99">
        <f>IFERROR(Table1[[#This Row],[MAT]]/Table1[[#This Row],[LAG MATCH]],"")</f>
        <v>0.18181818181818182</v>
      </c>
      <c r="E457" s="97">
        <v>0</v>
      </c>
      <c r="F457" s="97">
        <v>0</v>
      </c>
      <c r="G457" s="97">
        <v>1</v>
      </c>
      <c r="H457" s="97">
        <v>22</v>
      </c>
      <c r="I457" s="100">
        <f t="shared" si="12"/>
        <v>0.25</v>
      </c>
      <c r="J457" s="97">
        <f>Table1[[#This Row],[ÅR]]</f>
        <v>2010</v>
      </c>
      <c r="K457" s="97">
        <v>1990</v>
      </c>
      <c r="L457" s="97">
        <f>Table1[[#This Row],[ÅR]]-Table1[[#This Row],[FÖDD]]</f>
        <v>20</v>
      </c>
      <c r="M457" s="97">
        <v>3</v>
      </c>
      <c r="N457" s="97">
        <f>SUMIF(B:B,Table1[[#This Row],[Namn]],C:C)</f>
        <v>4</v>
      </c>
      <c r="O457" s="97">
        <f>COUNTIF(B:B,Table1[[#This Row],[Namn]])</f>
        <v>1</v>
      </c>
      <c r="P457" s="97">
        <f>SUMIF(B:B,Table1[[#This Row],[Namn]],G:G)</f>
        <v>1</v>
      </c>
      <c r="Q457" s="97">
        <f>SUMIF(B:B,Table1[[#This Row],[Namn]],E:E)</f>
        <v>0</v>
      </c>
      <c r="R457" s="97">
        <f>SUMIF(B:B,Table1[[#This Row],[Namn]],F:F)</f>
        <v>0</v>
      </c>
    </row>
    <row r="458" spans="1:18" x14ac:dyDescent="0.25">
      <c r="A458" s="97">
        <v>2010</v>
      </c>
      <c r="B458" s="98" t="s">
        <v>50</v>
      </c>
      <c r="C458" s="97">
        <v>4</v>
      </c>
      <c r="D458" s="99">
        <f>IFERROR(Table1[[#This Row],[MAT]]/Table1[[#This Row],[LAG MATCH]],"")</f>
        <v>0.18181818181818182</v>
      </c>
      <c r="E458" s="97">
        <v>1</v>
      </c>
      <c r="F458" s="97">
        <v>0</v>
      </c>
      <c r="G458" s="97">
        <v>0</v>
      </c>
      <c r="H458" s="97">
        <v>22</v>
      </c>
      <c r="I458" s="100">
        <f t="shared" si="12"/>
        <v>0</v>
      </c>
      <c r="J458" s="97">
        <f>Table1[[#This Row],[ÅR]]</f>
        <v>2010</v>
      </c>
      <c r="K458" s="97">
        <v>1993</v>
      </c>
      <c r="L458" s="97">
        <f>Table1[[#This Row],[ÅR]]-Table1[[#This Row],[FÖDD]]</f>
        <v>17</v>
      </c>
      <c r="M458" s="97">
        <v>3</v>
      </c>
      <c r="N458" s="97">
        <f>SUMIF(B:B,Table1[[#This Row],[Namn]],C:C)</f>
        <v>92</v>
      </c>
      <c r="O458" s="97">
        <f>COUNTIF(B:B,Table1[[#This Row],[Namn]])</f>
        <v>7</v>
      </c>
      <c r="P458" s="97">
        <f>SUMIF(B:B,Table1[[#This Row],[Namn]],G:G)</f>
        <v>5</v>
      </c>
      <c r="Q458" s="97">
        <f>SUMIF(B:B,Table1[[#This Row],[Namn]],E:E)</f>
        <v>4</v>
      </c>
      <c r="R458" s="97">
        <f>SUMIF(B:B,Table1[[#This Row],[Namn]],F:F)</f>
        <v>0</v>
      </c>
    </row>
    <row r="459" spans="1:18" x14ac:dyDescent="0.25">
      <c r="A459" s="97">
        <v>2010</v>
      </c>
      <c r="B459" s="98" t="s">
        <v>197</v>
      </c>
      <c r="C459" s="97">
        <v>4</v>
      </c>
      <c r="D459" s="99">
        <f>IFERROR(Table1[[#This Row],[MAT]]/Table1[[#This Row],[LAG MATCH]],"")</f>
        <v>0.18181818181818182</v>
      </c>
      <c r="E459" s="97">
        <v>0</v>
      </c>
      <c r="F459" s="97">
        <v>0</v>
      </c>
      <c r="G459" s="97">
        <v>0</v>
      </c>
      <c r="H459" s="97">
        <v>22</v>
      </c>
      <c r="I459" s="100">
        <f t="shared" si="12"/>
        <v>0</v>
      </c>
      <c r="J459" s="97">
        <f>Table1[[#This Row],[ÅR]]</f>
        <v>2010</v>
      </c>
      <c r="K459" s="97">
        <v>1992</v>
      </c>
      <c r="L459" s="97">
        <f>Table1[[#This Row],[ÅR]]-Table1[[#This Row],[FÖDD]]</f>
        <v>18</v>
      </c>
      <c r="M459" s="97">
        <v>3</v>
      </c>
      <c r="N459" s="97">
        <f>SUMIF(B:B,Table1[[#This Row],[Namn]],C:C)</f>
        <v>8</v>
      </c>
      <c r="O459" s="97">
        <f>COUNTIF(B:B,Table1[[#This Row],[Namn]])</f>
        <v>2</v>
      </c>
      <c r="P459" s="97">
        <f>SUMIF(B:B,Table1[[#This Row],[Namn]],G:G)</f>
        <v>0</v>
      </c>
      <c r="Q459" s="97">
        <f>SUMIF(B:B,Table1[[#This Row],[Namn]],E:E)</f>
        <v>0</v>
      </c>
      <c r="R459" s="97">
        <f>SUMIF(B:B,Table1[[#This Row],[Namn]],F:F)</f>
        <v>0</v>
      </c>
    </row>
    <row r="460" spans="1:18" x14ac:dyDescent="0.25">
      <c r="A460" s="97">
        <v>2010</v>
      </c>
      <c r="B460" s="98" t="s">
        <v>207</v>
      </c>
      <c r="C460" s="97">
        <v>4</v>
      </c>
      <c r="D460" s="99">
        <f>IFERROR(Table1[[#This Row],[MAT]]/Table1[[#This Row],[LAG MATCH]],"")</f>
        <v>0.18181818181818182</v>
      </c>
      <c r="E460" s="97">
        <v>0</v>
      </c>
      <c r="F460" s="97">
        <v>0</v>
      </c>
      <c r="G460" s="97">
        <v>0</v>
      </c>
      <c r="H460" s="97">
        <v>22</v>
      </c>
      <c r="I460" s="100">
        <f t="shared" si="12"/>
        <v>0</v>
      </c>
      <c r="J460" s="97">
        <f>Table1[[#This Row],[ÅR]]</f>
        <v>2010</v>
      </c>
      <c r="K460" s="97"/>
      <c r="L460" s="97"/>
      <c r="M460" s="97">
        <v>3</v>
      </c>
      <c r="N460" s="97">
        <f>SUMIF(B:B,Table1[[#This Row],[Namn]],C:C)</f>
        <v>4</v>
      </c>
      <c r="O460" s="97">
        <f>COUNTIF(B:B,Table1[[#This Row],[Namn]])</f>
        <v>1</v>
      </c>
      <c r="P460" s="97">
        <f>SUMIF(B:B,Table1[[#This Row],[Namn]],G:G)</f>
        <v>0</v>
      </c>
      <c r="Q460" s="97">
        <f>SUMIF(B:B,Table1[[#This Row],[Namn]],E:E)</f>
        <v>0</v>
      </c>
      <c r="R460" s="97">
        <f>SUMIF(B:B,Table1[[#This Row],[Namn]],F:F)</f>
        <v>0</v>
      </c>
    </row>
    <row r="461" spans="1:18" x14ac:dyDescent="0.25">
      <c r="A461" s="97">
        <v>2010</v>
      </c>
      <c r="B461" s="98" t="s">
        <v>87</v>
      </c>
      <c r="C461" s="97">
        <v>3</v>
      </c>
      <c r="D461" s="99">
        <f>IFERROR(Table1[[#This Row],[MAT]]/Table1[[#This Row],[LAG MATCH]],"")</f>
        <v>0.13636363636363635</v>
      </c>
      <c r="E461" s="97">
        <v>0</v>
      </c>
      <c r="F461" s="97">
        <v>0</v>
      </c>
      <c r="G461" s="97">
        <v>1</v>
      </c>
      <c r="H461" s="97">
        <v>22</v>
      </c>
      <c r="I461" s="100">
        <f t="shared" si="12"/>
        <v>0.33333333333333331</v>
      </c>
      <c r="J461" s="97">
        <f>Table1[[#This Row],[ÅR]]</f>
        <v>2010</v>
      </c>
      <c r="K461" s="97">
        <v>1991</v>
      </c>
      <c r="L461" s="97">
        <f>Table1[[#This Row],[ÅR]]-Table1[[#This Row],[FÖDD]]</f>
        <v>19</v>
      </c>
      <c r="M461" s="97">
        <v>3</v>
      </c>
      <c r="N461" s="97">
        <f>SUMIF(B:B,Table1[[#This Row],[Namn]],C:C)</f>
        <v>7</v>
      </c>
      <c r="O461" s="97">
        <f>COUNTIF(B:B,Table1[[#This Row],[Namn]])</f>
        <v>3</v>
      </c>
      <c r="P461" s="97">
        <f>SUMIF(B:B,Table1[[#This Row],[Namn]],G:G)</f>
        <v>1</v>
      </c>
      <c r="Q461" s="97">
        <f>SUMIF(B:B,Table1[[#This Row],[Namn]],E:E)</f>
        <v>0</v>
      </c>
      <c r="R461" s="97">
        <f>SUMIF(B:B,Table1[[#This Row],[Namn]],F:F)</f>
        <v>0</v>
      </c>
    </row>
    <row r="462" spans="1:18" x14ac:dyDescent="0.25">
      <c r="A462" s="97">
        <v>2010</v>
      </c>
      <c r="B462" s="98" t="s">
        <v>135</v>
      </c>
      <c r="C462" s="97">
        <v>2</v>
      </c>
      <c r="D462" s="99">
        <f>IFERROR(Table1[[#This Row],[MAT]]/Table1[[#This Row],[LAG MATCH]],"")</f>
        <v>9.0909090909090912E-2</v>
      </c>
      <c r="E462" s="97">
        <v>0</v>
      </c>
      <c r="F462" s="97">
        <v>0</v>
      </c>
      <c r="G462" s="97">
        <v>0</v>
      </c>
      <c r="H462" s="97">
        <v>22</v>
      </c>
      <c r="I462" s="100">
        <f t="shared" si="12"/>
        <v>0</v>
      </c>
      <c r="J462" s="97">
        <f>Table1[[#This Row],[ÅR]]</f>
        <v>2010</v>
      </c>
      <c r="K462" s="97">
        <v>1996</v>
      </c>
      <c r="L462" s="97">
        <f>Table1[[#This Row],[ÅR]]-Table1[[#This Row],[FÖDD]]</f>
        <v>14</v>
      </c>
      <c r="M462" s="97">
        <v>3</v>
      </c>
      <c r="N462" s="97">
        <f>SUMIF(B:B,Table1[[#This Row],[Namn]],C:C)</f>
        <v>60</v>
      </c>
      <c r="O462" s="97">
        <f>COUNTIF(B:B,Table1[[#This Row],[Namn]])</f>
        <v>7</v>
      </c>
      <c r="P462" s="97">
        <f>SUMIF(B:B,Table1[[#This Row],[Namn]],G:G)</f>
        <v>6</v>
      </c>
      <c r="Q462" s="97">
        <f>SUMIF(B:B,Table1[[#This Row],[Namn]],E:E)</f>
        <v>3</v>
      </c>
      <c r="R462" s="97">
        <f>SUMIF(B:B,Table1[[#This Row],[Namn]],F:F)</f>
        <v>0</v>
      </c>
    </row>
    <row r="463" spans="1:18" x14ac:dyDescent="0.25">
      <c r="A463" s="97">
        <v>2010</v>
      </c>
      <c r="B463" s="98" t="s">
        <v>208</v>
      </c>
      <c r="C463" s="97">
        <v>1</v>
      </c>
      <c r="D463" s="99">
        <f>IFERROR(Table1[[#This Row],[MAT]]/Table1[[#This Row],[LAG MATCH]],"")</f>
        <v>4.5454545454545456E-2</v>
      </c>
      <c r="E463" s="97">
        <v>0</v>
      </c>
      <c r="F463" s="97">
        <v>0</v>
      </c>
      <c r="G463" s="97">
        <v>0</v>
      </c>
      <c r="H463" s="97">
        <v>22</v>
      </c>
      <c r="I463" s="100">
        <f t="shared" si="12"/>
        <v>0</v>
      </c>
      <c r="J463" s="97">
        <f>Table1[[#This Row],[ÅR]]</f>
        <v>2010</v>
      </c>
      <c r="K463" s="97">
        <v>1989</v>
      </c>
      <c r="L463" s="97">
        <f>Table1[[#This Row],[ÅR]]-Table1[[#This Row],[FÖDD]]</f>
        <v>21</v>
      </c>
      <c r="M463" s="97">
        <v>3</v>
      </c>
      <c r="N463" s="97">
        <f>SUMIF(B:B,Table1[[#This Row],[Namn]],C:C)</f>
        <v>1</v>
      </c>
      <c r="O463" s="97">
        <f>COUNTIF(B:B,Table1[[#This Row],[Namn]])</f>
        <v>1</v>
      </c>
      <c r="P463" s="97">
        <f>SUMIF(B:B,Table1[[#This Row],[Namn]],G:G)</f>
        <v>0</v>
      </c>
      <c r="Q463" s="97">
        <f>SUMIF(B:B,Table1[[#This Row],[Namn]],E:E)</f>
        <v>0</v>
      </c>
      <c r="R463" s="97">
        <f>SUMIF(B:B,Table1[[#This Row],[Namn]],F:F)</f>
        <v>0</v>
      </c>
    </row>
  </sheetData>
  <sortState xmlns:xlrd2="http://schemas.microsoft.com/office/spreadsheetml/2017/richdata2" ref="Z20:Z35">
    <sortCondition ref="Z20:Z35"/>
  </sortState>
  <mergeCells count="2">
    <mergeCell ref="AA20:AC26"/>
    <mergeCell ref="AF22:AF26"/>
  </mergeCells>
  <phoneticPr fontId="2" type="noConversion"/>
  <conditionalFormatting sqref="A20:A463">
    <cfRule type="cellIs" dxfId="38" priority="1" operator="equal">
      <formula>2026</formula>
    </cfRule>
  </conditionalFormatting>
  <conditionalFormatting sqref="AT2:AT18">
    <cfRule type="colorScale" priority="8">
      <colorScale>
        <cfvo type="min"/>
        <cfvo type="max"/>
        <color rgb="FFFCFCFF"/>
        <color rgb="FF63BE7B"/>
      </colorScale>
    </cfRule>
  </conditionalFormatting>
  <conditionalFormatting sqref="AU2:AV18">
    <cfRule type="colorScale" priority="7">
      <colorScale>
        <cfvo type="min"/>
        <cfvo type="max"/>
        <color rgb="FFFCFCFF"/>
        <color rgb="FF63BE7B"/>
      </colorScale>
    </cfRule>
  </conditionalFormatting>
  <conditionalFormatting sqref="AV2:AV18"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  <tableParts count="3">
    <tablePart r:id="rId2"/>
    <tablePart r:id="rId3"/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E810-FB5A-4BF1-950B-889F7AC42E03}">
  <dimension ref="A14:Y457"/>
  <sheetViews>
    <sheetView topLeftCell="A172" workbookViewId="0">
      <selection activeCell="AA180" sqref="AA180"/>
    </sheetView>
  </sheetViews>
  <sheetFormatPr defaultColWidth="9" defaultRowHeight="10.8" x14ac:dyDescent="0.25"/>
  <cols>
    <col min="1" max="1" width="5.42578125" style="12" customWidth="1"/>
    <col min="2" max="2" width="30.42578125" style="11" customWidth="1"/>
    <col min="3" max="12" width="6.7109375" style="12" customWidth="1"/>
    <col min="13" max="13" width="6.7109375" style="14" customWidth="1"/>
    <col min="14" max="14" width="6.7109375" style="12" customWidth="1"/>
    <col min="15" max="21" width="6.7109375" style="11" customWidth="1"/>
    <col min="22" max="25" width="6.7109375" style="12" customWidth="1"/>
    <col min="26" max="27" width="7.7109375" style="11" customWidth="1"/>
    <col min="28" max="16384" width="9" style="11"/>
  </cols>
  <sheetData>
    <row r="14" spans="1:25" ht="42.6" x14ac:dyDescent="0.25">
      <c r="A14" s="23" t="s">
        <v>213</v>
      </c>
      <c r="B14" s="11" t="s">
        <v>5</v>
      </c>
      <c r="C14" s="16" t="s">
        <v>6</v>
      </c>
      <c r="D14" s="16" t="s">
        <v>8</v>
      </c>
      <c r="E14" s="16" t="s">
        <v>9</v>
      </c>
      <c r="F14" s="16" t="s">
        <v>10</v>
      </c>
      <c r="G14" s="16" t="s">
        <v>13</v>
      </c>
      <c r="H14" s="16" t="s">
        <v>214</v>
      </c>
      <c r="I14" s="16" t="s">
        <v>15</v>
      </c>
      <c r="J14" s="16" t="s">
        <v>215</v>
      </c>
      <c r="K14" s="16" t="s">
        <v>216</v>
      </c>
      <c r="L14" s="16" t="s">
        <v>217</v>
      </c>
      <c r="M14" s="17" t="s">
        <v>218</v>
      </c>
      <c r="N14" s="18" t="s">
        <v>219</v>
      </c>
      <c r="O14" s="19" t="s">
        <v>220</v>
      </c>
      <c r="P14" s="19" t="s">
        <v>221</v>
      </c>
      <c r="Q14" s="19" t="s">
        <v>222</v>
      </c>
      <c r="R14" s="19" t="s">
        <v>223</v>
      </c>
      <c r="S14" s="19" t="s">
        <v>224</v>
      </c>
      <c r="T14" s="19" t="s">
        <v>225</v>
      </c>
      <c r="U14" s="129" t="s">
        <v>388</v>
      </c>
      <c r="V14" s="130" t="s">
        <v>395</v>
      </c>
      <c r="W14" s="130" t="s">
        <v>396</v>
      </c>
      <c r="X14" s="130" t="s">
        <v>397</v>
      </c>
      <c r="Y14" s="130" t="s">
        <v>398</v>
      </c>
    </row>
    <row r="15" spans="1:25" x14ac:dyDescent="0.25">
      <c r="A15" s="15">
        <f>Tabell4[[#This Row],[RANK MATCHER]]</f>
        <v>1</v>
      </c>
      <c r="B15" s="11" t="s">
        <v>74</v>
      </c>
      <c r="C15" s="12">
        <f>SUMIF('ALLA ÅR'!B:B,Tabell4[[#This Row],[Namn]],'ALLA ÅR'!C:C)</f>
        <v>200</v>
      </c>
      <c r="D15" s="12">
        <f>SUMIF('ALLA ÅR'!B:B,Tabell4[[#This Row],[Namn]],'ALLA ÅR'!E:E)</f>
        <v>1</v>
      </c>
      <c r="E15" s="12">
        <f>SUMIF('ALLA ÅR'!B:B,Tabell4[[#This Row],[Namn]],'ALLA ÅR'!F:F)</f>
        <v>0</v>
      </c>
      <c r="F15" s="12">
        <f>SUMIF('ALLA ÅR'!B:B,Tabell4[[#This Row],[Namn]],'ALLA ÅR'!G:G)</f>
        <v>9</v>
      </c>
      <c r="G15" s="12">
        <f>VLOOKUP(Tabell4[[#This Row],[Namn]],'ALLA ÅR'!B:J,9,0)</f>
        <v>2023</v>
      </c>
      <c r="H15" s="12">
        <f>COUNTIF('ALLA ÅR'!B:B,Tabell4[[#This Row],[Namn]])</f>
        <v>12</v>
      </c>
      <c r="I15" s="12">
        <f>VLOOKUP(Tabell4[[#This Row],[Namn]],'ALLA ÅR'!B:L,11,0)</f>
        <v>27</v>
      </c>
      <c r="J15" s="12">
        <f>RANK(Tabell4[[#This Row],[MÅL]],F:F)</f>
        <v>25</v>
      </c>
      <c r="K15" s="12">
        <f>RANK(Tabell4[[#This Row],[VAR]],D:D)</f>
        <v>27</v>
      </c>
      <c r="L15" s="12">
        <f>RANK(Tabell4[[#This Row],[MAT]],C:C)</f>
        <v>1</v>
      </c>
      <c r="M15" s="14">
        <f>Tabell4[[#This Row],[MAT]]/Tabell4[[#This Row],[ANTAL MATCHER]]</f>
        <v>0.91324200913242004</v>
      </c>
      <c r="N15" s="12">
        <f>SUMIF('ALLA ÅR'!B:B,Tabell4[[#This Row],[Namn]],'ALLA ÅR'!H:H)</f>
        <v>219</v>
      </c>
      <c r="O15" s="12">
        <f>(Tabell4[[#This Row],[UTV]]*2)+Tabell4[[#This Row],[VAR]]</f>
        <v>1</v>
      </c>
      <c r="P15" s="12">
        <f>COUNTIF('100%'!B:B,Tabell4[[#This Row],[Namn]])</f>
        <v>4</v>
      </c>
      <c r="Q15" s="12">
        <f>_xlfn.XLOOKUP(Tabell4[[#This Row],[Namn]],Blad3!A:A,Blad3!B:B)</f>
        <v>10</v>
      </c>
      <c r="R15" s="12">
        <f>_xlfn.XLOOKUP(Tabell4[[#This Row],[Namn]],Blad3!A:A,Blad3!C:C)</f>
        <v>95</v>
      </c>
      <c r="S15" s="12">
        <f>_xlfn.XLOOKUP(Tabell4[[#This Row],[Namn]],Blad3!A:A,Blad3!D:D)</f>
        <v>15</v>
      </c>
      <c r="T15" s="12">
        <f>_xlfn.XLOOKUP(Tabell4[[#This Row],[Namn]],Blad3!A:A,Blad3!E:E)</f>
        <v>80</v>
      </c>
      <c r="U15" s="12">
        <f>RANK(Tabell4[[#This Row],[SÄS]],Tabell4[SÄS])</f>
        <v>1</v>
      </c>
      <c r="V15" s="12">
        <f>_xlfn.XLOOKUP(Tabell4[[#This Row],[Namn]],Blad3!H:H,Blad3!I:I)</f>
        <v>0</v>
      </c>
      <c r="W15" s="12">
        <f>_xlfn.XLOOKUP(Tabell4[[#This Row],[Namn]],Blad3!H:H,Blad3!J:J)</f>
        <v>1</v>
      </c>
      <c r="X15" s="12">
        <f>_xlfn.XLOOKUP(Tabell4[[#This Row],[Namn]],Blad3!H:H,Blad3!K:K)</f>
        <v>0</v>
      </c>
      <c r="Y15" s="12">
        <f>_xlfn.XLOOKUP(Tabell4[[#This Row],[Namn]],Blad3!H:H,Blad3!L:L)</f>
        <v>8</v>
      </c>
    </row>
    <row r="16" spans="1:25" x14ac:dyDescent="0.25">
      <c r="A16" s="15">
        <f>Tabell4[[#This Row],[RANK MATCHER]]</f>
        <v>2</v>
      </c>
      <c r="B16" s="11" t="s">
        <v>56</v>
      </c>
      <c r="C16" s="12">
        <f>SUMIF('ALLA ÅR'!B:B,Tabell4[[#This Row],[Namn]],'ALLA ÅR'!C:C)</f>
        <v>151</v>
      </c>
      <c r="D16" s="12">
        <f>SUMIF('ALLA ÅR'!B:B,Tabell4[[#This Row],[Namn]],'ALLA ÅR'!E:E)</f>
        <v>9</v>
      </c>
      <c r="E16" s="12">
        <f>SUMIF('ALLA ÅR'!B:B,Tabell4[[#This Row],[Namn]],'ALLA ÅR'!F:F)</f>
        <v>0</v>
      </c>
      <c r="F16" s="12">
        <f>SUMIF('ALLA ÅR'!B:B,Tabell4[[#This Row],[Namn]],'ALLA ÅR'!G:G)</f>
        <v>29</v>
      </c>
      <c r="G16" s="12">
        <f>VLOOKUP(Tabell4[[#This Row],[Namn]],'ALLA ÅR'!B:J,9,0)</f>
        <v>2024</v>
      </c>
      <c r="H16" s="12">
        <f>COUNTIF('ALLA ÅR'!B:B,Tabell4[[#This Row],[Namn]])</f>
        <v>8</v>
      </c>
      <c r="I16" s="12">
        <f>VLOOKUP(Tabell4[[#This Row],[Namn]],'ALLA ÅR'!B:L,11,0)</f>
        <v>22</v>
      </c>
      <c r="J16" s="12">
        <f>RANK(Tabell4[[#This Row],[MÅL]],F:F)</f>
        <v>6</v>
      </c>
      <c r="K16" s="12">
        <f>RANK(Tabell4[[#This Row],[VAR]],D:D)</f>
        <v>2</v>
      </c>
      <c r="L16" s="12">
        <f>RANK(Tabell4[[#This Row],[MAT]],C:C)</f>
        <v>2</v>
      </c>
      <c r="M16" s="14">
        <f>Tabell4[[#This Row],[MAT]]/Tabell4[[#This Row],[ANTAL MATCHER]]</f>
        <v>0.93788819875776397</v>
      </c>
      <c r="N16" s="12">
        <f>SUMIF('ALLA ÅR'!B:B,Tabell4[[#This Row],[Namn]],'ALLA ÅR'!H:H)</f>
        <v>161</v>
      </c>
      <c r="O16" s="12">
        <f>(Tabell4[[#This Row],[UTV]]*2)+Tabell4[[#This Row],[VAR]]</f>
        <v>9</v>
      </c>
      <c r="P16" s="12">
        <f>COUNTIF('100%'!B:B,Tabell4[[#This Row],[Namn]])</f>
        <v>4</v>
      </c>
      <c r="Q16" s="12">
        <f>_xlfn.XLOOKUP(Tabell4[[#This Row],[Namn]],Blad3!A:A,Blad3!B:B)</f>
        <v>10</v>
      </c>
      <c r="R16" s="12">
        <f>_xlfn.XLOOKUP(Tabell4[[#This Row],[Namn]],Blad3!A:A,Blad3!C:C)</f>
        <v>132</v>
      </c>
      <c r="S16" s="12">
        <f>_xlfn.XLOOKUP(Tabell4[[#This Row],[Namn]],Blad3!A:A,Blad3!D:D)</f>
        <v>9</v>
      </c>
      <c r="T16" s="12">
        <f>_xlfn.XLOOKUP(Tabell4[[#This Row],[Namn]],Blad3!A:A,Blad3!E:E)</f>
        <v>0</v>
      </c>
      <c r="U16" s="12">
        <f>RANK(Tabell4[[#This Row],[SÄS]],Tabell4[SÄS])</f>
        <v>4</v>
      </c>
      <c r="V16" s="12">
        <f>_xlfn.XLOOKUP(Tabell4[[#This Row],[Namn]],Blad3!H:H,Blad3!I:I)</f>
        <v>1</v>
      </c>
      <c r="W16" s="12">
        <f>_xlfn.XLOOKUP(Tabell4[[#This Row],[Namn]],Blad3!H:H,Blad3!J:J)</f>
        <v>28</v>
      </c>
      <c r="X16" s="12">
        <f>_xlfn.XLOOKUP(Tabell4[[#This Row],[Namn]],Blad3!H:H,Blad3!K:K)</f>
        <v>0</v>
      </c>
      <c r="Y16" s="12">
        <f>_xlfn.XLOOKUP(Tabell4[[#This Row],[Namn]],Blad3!H:H,Blad3!L:L)</f>
        <v>0</v>
      </c>
    </row>
    <row r="17" spans="1:25" x14ac:dyDescent="0.25">
      <c r="A17" s="15">
        <f>Tabell4[[#This Row],[RANK MATCHER]]</f>
        <v>3</v>
      </c>
      <c r="B17" s="11" t="s">
        <v>34</v>
      </c>
      <c r="C17" s="12">
        <f>SUMIF('ALLA ÅR'!B:B,Tabell4[[#This Row],[Namn]],'ALLA ÅR'!C:C)</f>
        <v>138</v>
      </c>
      <c r="D17" s="12">
        <f>SUMIF('ALLA ÅR'!B:B,Tabell4[[#This Row],[Namn]],'ALLA ÅR'!E:E)</f>
        <v>4</v>
      </c>
      <c r="E17" s="12">
        <f>SUMIF('ALLA ÅR'!B:B,Tabell4[[#This Row],[Namn]],'ALLA ÅR'!F:F)</f>
        <v>0</v>
      </c>
      <c r="F17" s="12">
        <f>SUMIF('ALLA ÅR'!B:B,Tabell4[[#This Row],[Namn]],'ALLA ÅR'!G:G)</f>
        <v>103</v>
      </c>
      <c r="G17" s="12">
        <f>VLOOKUP(Tabell4[[#This Row],[Namn]],'ALLA ÅR'!B:J,9,0)</f>
        <v>2026</v>
      </c>
      <c r="H17" s="12">
        <f>COUNTIF('ALLA ÅR'!B:B,Tabell4[[#This Row],[Namn]])</f>
        <v>9</v>
      </c>
      <c r="I17" s="12">
        <f>VLOOKUP(Tabell4[[#This Row],[Namn]],'ALLA ÅR'!B:L,11,0)</f>
        <v>35</v>
      </c>
      <c r="J17" s="12">
        <f>RANK(Tabell4[[#This Row],[MÅL]],F:F)</f>
        <v>2</v>
      </c>
      <c r="K17" s="12">
        <f>RANK(Tabell4[[#This Row],[VAR]],D:D)</f>
        <v>5</v>
      </c>
      <c r="L17" s="12">
        <f>RANK(Tabell4[[#This Row],[MAT]],C:C)</f>
        <v>3</v>
      </c>
      <c r="M17" s="14">
        <f>Tabell4[[#This Row],[MAT]]/Tabell4[[#This Row],[ANTAL MATCHER]]</f>
        <v>0.90196078431372551</v>
      </c>
      <c r="N17" s="12">
        <f>SUMIF('ALLA ÅR'!B:B,Tabell4[[#This Row],[Namn]],'ALLA ÅR'!H:H)</f>
        <v>153</v>
      </c>
      <c r="O17" s="12">
        <f>(Tabell4[[#This Row],[UTV]]*2)+Tabell4[[#This Row],[VAR]]</f>
        <v>4</v>
      </c>
      <c r="P17" s="12">
        <f>COUNTIF('100%'!B:B,Tabell4[[#This Row],[Namn]])</f>
        <v>3</v>
      </c>
      <c r="Q17" s="12">
        <f>_xlfn.XLOOKUP(Tabell4[[#This Row],[Namn]],Blad3!A:A,Blad3!B:B)</f>
        <v>2</v>
      </c>
      <c r="R17" s="12">
        <f>_xlfn.XLOOKUP(Tabell4[[#This Row],[Namn]],Blad3!A:A,Blad3!C:C)</f>
        <v>132</v>
      </c>
      <c r="S17" s="12">
        <f>_xlfn.XLOOKUP(Tabell4[[#This Row],[Namn]],Blad3!A:A,Blad3!D:D)</f>
        <v>0</v>
      </c>
      <c r="T17" s="12">
        <f>_xlfn.XLOOKUP(Tabell4[[#This Row],[Namn]],Blad3!A:A,Blad3!E:E)</f>
        <v>4</v>
      </c>
      <c r="U17" s="12">
        <f>RANK(Tabell4[[#This Row],[SÄS]],Tabell4[SÄS])</f>
        <v>2</v>
      </c>
      <c r="V17" s="12">
        <f>_xlfn.XLOOKUP(Tabell4[[#This Row],[Namn]],Blad3!H:H,Blad3!I:I)</f>
        <v>2</v>
      </c>
      <c r="W17" s="12">
        <f>_xlfn.XLOOKUP(Tabell4[[#This Row],[Namn]],Blad3!H:H,Blad3!J:J)</f>
        <v>94</v>
      </c>
      <c r="X17" s="12">
        <f>_xlfn.XLOOKUP(Tabell4[[#This Row],[Namn]],Blad3!H:H,Blad3!K:K)</f>
        <v>0</v>
      </c>
      <c r="Y17" s="12">
        <f>_xlfn.XLOOKUP(Tabell4[[#This Row],[Namn]],Blad3!H:H,Blad3!L:L)</f>
        <v>7</v>
      </c>
    </row>
    <row r="18" spans="1:25" x14ac:dyDescent="0.25">
      <c r="A18" s="15">
        <f>Tabell4[[#This Row],[RANK MATCHER]]</f>
        <v>4</v>
      </c>
      <c r="B18" s="11" t="s">
        <v>101</v>
      </c>
      <c r="C18" s="12">
        <f>SUMIF('ALLA ÅR'!B:B,Tabell4[[#This Row],[Namn]],'ALLA ÅR'!C:C)</f>
        <v>121</v>
      </c>
      <c r="D18" s="12">
        <f>SUMIF('ALLA ÅR'!B:B,Tabell4[[#This Row],[Namn]],'ALLA ÅR'!E:E)</f>
        <v>2</v>
      </c>
      <c r="E18" s="12">
        <f>SUMIF('ALLA ÅR'!B:B,Tabell4[[#This Row],[Namn]],'ALLA ÅR'!F:F)</f>
        <v>1</v>
      </c>
      <c r="F18" s="12">
        <f>SUMIF('ALLA ÅR'!B:B,Tabell4[[#This Row],[Namn]],'ALLA ÅR'!G:G)</f>
        <v>13</v>
      </c>
      <c r="G18" s="12">
        <f>VLOOKUP(Tabell4[[#This Row],[Namn]],'ALLA ÅR'!B:J,9,0)</f>
        <v>2020</v>
      </c>
      <c r="H18" s="12">
        <f>COUNTIF('ALLA ÅR'!B:B,Tabell4[[#This Row],[Namn]])</f>
        <v>9</v>
      </c>
      <c r="I18" s="12">
        <f>VLOOKUP(Tabell4[[#This Row],[Namn]],'ALLA ÅR'!B:L,11,0)</f>
        <v>24</v>
      </c>
      <c r="J18" s="12">
        <f>RANK(Tabell4[[#This Row],[MÅL]],F:F)</f>
        <v>16</v>
      </c>
      <c r="K18" s="12">
        <f>RANK(Tabell4[[#This Row],[VAR]],D:D)</f>
        <v>19</v>
      </c>
      <c r="L18" s="12">
        <f>RANK(Tabell4[[#This Row],[MAT]],C:C)</f>
        <v>4</v>
      </c>
      <c r="M18" s="14">
        <f>Tabell4[[#This Row],[MAT]]/Tabell4[[#This Row],[ANTAL MATCHER]]</f>
        <v>0.77070063694267521</v>
      </c>
      <c r="N18" s="12">
        <f>SUMIF('ALLA ÅR'!B:B,Tabell4[[#This Row],[Namn]],'ALLA ÅR'!H:H)</f>
        <v>157</v>
      </c>
      <c r="O18" s="12">
        <f>(Tabell4[[#This Row],[UTV]]*2)+Tabell4[[#This Row],[VAR]]</f>
        <v>4</v>
      </c>
      <c r="P18" s="12">
        <f>COUNTIF('100%'!B:B,Tabell4[[#This Row],[Namn]])</f>
        <v>0</v>
      </c>
      <c r="Q18" s="12">
        <f>_xlfn.XLOOKUP(Tabell4[[#This Row],[Namn]],Blad3!A:A,Blad3!B:B)</f>
        <v>6</v>
      </c>
      <c r="R18" s="12">
        <f>_xlfn.XLOOKUP(Tabell4[[#This Row],[Namn]],Blad3!A:A,Blad3!C:C)</f>
        <v>34</v>
      </c>
      <c r="S18" s="12">
        <f>_xlfn.XLOOKUP(Tabell4[[#This Row],[Namn]],Blad3!A:A,Blad3!D:D)</f>
        <v>12</v>
      </c>
      <c r="T18" s="12">
        <f>_xlfn.XLOOKUP(Tabell4[[#This Row],[Namn]],Blad3!A:A,Blad3!E:E)</f>
        <v>69</v>
      </c>
      <c r="U18" s="12">
        <f>RANK(Tabell4[[#This Row],[SÄS]],Tabell4[SÄS])</f>
        <v>2</v>
      </c>
      <c r="V18" s="12">
        <f>_xlfn.XLOOKUP(Tabell4[[#This Row],[Namn]],Blad3!H:H,Blad3!I:I)</f>
        <v>0</v>
      </c>
      <c r="W18" s="12">
        <f>_xlfn.XLOOKUP(Tabell4[[#This Row],[Namn]],Blad3!H:H,Blad3!J:J)</f>
        <v>2</v>
      </c>
      <c r="X18" s="12">
        <f>_xlfn.XLOOKUP(Tabell4[[#This Row],[Namn]],Blad3!H:H,Blad3!K:K)</f>
        <v>0</v>
      </c>
      <c r="Y18" s="12">
        <f>_xlfn.XLOOKUP(Tabell4[[#This Row],[Namn]],Blad3!H:H,Blad3!L:L)</f>
        <v>11</v>
      </c>
    </row>
    <row r="19" spans="1:25" x14ac:dyDescent="0.25">
      <c r="A19" s="15">
        <f>Tabell4[[#This Row],[RANK MATCHER]]</f>
        <v>5</v>
      </c>
      <c r="B19" s="11" t="s">
        <v>59</v>
      </c>
      <c r="C19" s="12">
        <f>SUMIF('ALLA ÅR'!B:B,Tabell4[[#This Row],[Namn]],'ALLA ÅR'!C:C)</f>
        <v>119</v>
      </c>
      <c r="D19" s="12">
        <f>SUMIF('ALLA ÅR'!B:B,Tabell4[[#This Row],[Namn]],'ALLA ÅR'!E:E)</f>
        <v>3</v>
      </c>
      <c r="E19" s="12">
        <f>SUMIF('ALLA ÅR'!B:B,Tabell4[[#This Row],[Namn]],'ALLA ÅR'!F:F)</f>
        <v>1</v>
      </c>
      <c r="F19" s="12">
        <f>SUMIF('ALLA ÅR'!B:B,Tabell4[[#This Row],[Namn]],'ALLA ÅR'!G:G)</f>
        <v>6</v>
      </c>
      <c r="G19" s="12">
        <f>VLOOKUP(Tabell4[[#This Row],[Namn]],'ALLA ÅR'!B:J,9,0)</f>
        <v>2024</v>
      </c>
      <c r="H19" s="12">
        <f>COUNTIF('ALLA ÅR'!B:B,Tabell4[[#This Row],[Namn]])</f>
        <v>6</v>
      </c>
      <c r="I19" s="12">
        <f>VLOOKUP(Tabell4[[#This Row],[Namn]],'ALLA ÅR'!B:L,11,0)</f>
        <v>35</v>
      </c>
      <c r="J19" s="12">
        <f>RANK(Tabell4[[#This Row],[MÅL]],F:F)</f>
        <v>31</v>
      </c>
      <c r="K19" s="12">
        <f>RANK(Tabell4[[#This Row],[VAR]],D:D)</f>
        <v>10</v>
      </c>
      <c r="L19" s="12">
        <f>RANK(Tabell4[[#This Row],[MAT]],C:C)</f>
        <v>5</v>
      </c>
      <c r="M19" s="14">
        <f>Tabell4[[#This Row],[MAT]]/Tabell4[[#This Row],[ANTAL MATCHER]]</f>
        <v>0.88805970149253732</v>
      </c>
      <c r="N19" s="12">
        <f>SUMIF('ALLA ÅR'!B:B,Tabell4[[#This Row],[Namn]],'ALLA ÅR'!H:H)</f>
        <v>134</v>
      </c>
      <c r="O19" s="12">
        <f>(Tabell4[[#This Row],[UTV]]*2)+Tabell4[[#This Row],[VAR]]</f>
        <v>5</v>
      </c>
      <c r="P19" s="12">
        <f>COUNTIF('100%'!B:B,Tabell4[[#This Row],[Namn]])</f>
        <v>0</v>
      </c>
      <c r="Q19" s="12">
        <f>_xlfn.XLOOKUP(Tabell4[[#This Row],[Namn]],Blad3!A:A,Blad3!B:B)</f>
        <v>5</v>
      </c>
      <c r="R19" s="12">
        <f>_xlfn.XLOOKUP(Tabell4[[#This Row],[Namn]],Blad3!A:A,Blad3!C:C)</f>
        <v>114</v>
      </c>
      <c r="S19" s="12">
        <f>_xlfn.XLOOKUP(Tabell4[[#This Row],[Namn]],Blad3!A:A,Blad3!D:D)</f>
        <v>0</v>
      </c>
      <c r="T19" s="12">
        <f>_xlfn.XLOOKUP(Tabell4[[#This Row],[Namn]],Blad3!A:A,Blad3!E:E)</f>
        <v>0</v>
      </c>
      <c r="U19" s="12">
        <f>RANK(Tabell4[[#This Row],[SÄS]],Tabell4[SÄS])</f>
        <v>8</v>
      </c>
      <c r="V19" s="12">
        <f>_xlfn.XLOOKUP(Tabell4[[#This Row],[Namn]],Blad3!H:H,Blad3!I:I)</f>
        <v>0</v>
      </c>
      <c r="W19" s="12">
        <f>_xlfn.XLOOKUP(Tabell4[[#This Row],[Namn]],Blad3!H:H,Blad3!J:J)</f>
        <v>6</v>
      </c>
      <c r="X19" s="12">
        <f>_xlfn.XLOOKUP(Tabell4[[#This Row],[Namn]],Blad3!H:H,Blad3!K:K)</f>
        <v>0</v>
      </c>
      <c r="Y19" s="12">
        <f>_xlfn.XLOOKUP(Tabell4[[#This Row],[Namn]],Blad3!H:H,Blad3!L:L)</f>
        <v>0</v>
      </c>
    </row>
    <row r="20" spans="1:25" x14ac:dyDescent="0.25">
      <c r="A20" s="15">
        <f>Tabell4[[#This Row],[RANK MATCHER]]</f>
        <v>6</v>
      </c>
      <c r="B20" s="11" t="s">
        <v>69</v>
      </c>
      <c r="C20" s="12">
        <f>SUMIF('ALLA ÅR'!B:B,Tabell4[[#This Row],[Namn]],'ALLA ÅR'!C:C)</f>
        <v>105</v>
      </c>
      <c r="D20" s="12">
        <f>SUMIF('ALLA ÅR'!B:B,Tabell4[[#This Row],[Namn]],'ALLA ÅR'!E:E)</f>
        <v>1</v>
      </c>
      <c r="E20" s="12">
        <f>SUMIF('ALLA ÅR'!B:B,Tabell4[[#This Row],[Namn]],'ALLA ÅR'!F:F)</f>
        <v>0</v>
      </c>
      <c r="F20" s="12">
        <f>SUMIF('ALLA ÅR'!B:B,Tabell4[[#This Row],[Namn]],'ALLA ÅR'!G:G)</f>
        <v>11</v>
      </c>
      <c r="G20" s="12">
        <f>VLOOKUP(Tabell4[[#This Row],[Namn]],'ALLA ÅR'!B:J,9,0)</f>
        <v>2023</v>
      </c>
      <c r="H20" s="12">
        <f>COUNTIF('ALLA ÅR'!B:B,Tabell4[[#This Row],[Namn]])</f>
        <v>6</v>
      </c>
      <c r="I20" s="12">
        <f>VLOOKUP(Tabell4[[#This Row],[Namn]],'ALLA ÅR'!B:L,11,0)</f>
        <v>27</v>
      </c>
      <c r="J20" s="12">
        <f>RANK(Tabell4[[#This Row],[MÅL]],F:F)</f>
        <v>20</v>
      </c>
      <c r="K20" s="12">
        <f>RANK(Tabell4[[#This Row],[VAR]],D:D)</f>
        <v>27</v>
      </c>
      <c r="L20" s="12">
        <f>RANK(Tabell4[[#This Row],[MAT]],C:C)</f>
        <v>6</v>
      </c>
      <c r="M20" s="14">
        <f>Tabell4[[#This Row],[MAT]]/Tabell4[[#This Row],[ANTAL MATCHER]]</f>
        <v>0.90517241379310343</v>
      </c>
      <c r="N20" s="12">
        <f>SUMIF('ALLA ÅR'!B:B,Tabell4[[#This Row],[Namn]],'ALLA ÅR'!H:H)</f>
        <v>116</v>
      </c>
      <c r="O20" s="12">
        <f>(Tabell4[[#This Row],[UTV]]*2)+Tabell4[[#This Row],[VAR]]</f>
        <v>1</v>
      </c>
      <c r="P20" s="12">
        <f>COUNTIF('100%'!B:B,Tabell4[[#This Row],[Namn]])</f>
        <v>1</v>
      </c>
      <c r="Q20" s="12">
        <f>_xlfn.XLOOKUP(Tabell4[[#This Row],[Namn]],Blad3!A:A,Blad3!B:B)</f>
        <v>9</v>
      </c>
      <c r="R20" s="12">
        <f>_xlfn.XLOOKUP(Tabell4[[#This Row],[Namn]],Blad3!A:A,Blad3!C:C)</f>
        <v>96</v>
      </c>
      <c r="S20" s="12">
        <f>_xlfn.XLOOKUP(Tabell4[[#This Row],[Namn]],Blad3!A:A,Blad3!D:D)</f>
        <v>0</v>
      </c>
      <c r="T20" s="12">
        <f>_xlfn.XLOOKUP(Tabell4[[#This Row],[Namn]],Blad3!A:A,Blad3!E:E)</f>
        <v>0</v>
      </c>
      <c r="U20" s="12">
        <f>RANK(Tabell4[[#This Row],[SÄS]],Tabell4[SÄS])</f>
        <v>8</v>
      </c>
      <c r="V20" s="12">
        <f>_xlfn.XLOOKUP(Tabell4[[#This Row],[Namn]],Blad3!H:H,Blad3!I:I)</f>
        <v>0</v>
      </c>
      <c r="W20" s="12">
        <f>_xlfn.XLOOKUP(Tabell4[[#This Row],[Namn]],Blad3!H:H,Blad3!J:J)</f>
        <v>11</v>
      </c>
      <c r="X20" s="12">
        <f>_xlfn.XLOOKUP(Tabell4[[#This Row],[Namn]],Blad3!H:H,Blad3!K:K)</f>
        <v>0</v>
      </c>
      <c r="Y20" s="12">
        <f>_xlfn.XLOOKUP(Tabell4[[#This Row],[Namn]],Blad3!H:H,Blad3!L:L)</f>
        <v>0</v>
      </c>
    </row>
    <row r="21" spans="1:25" x14ac:dyDescent="0.25">
      <c r="A21" s="15">
        <f>Tabell4[[#This Row],[RANK MATCHER]]</f>
        <v>7</v>
      </c>
      <c r="B21" s="11" t="s">
        <v>50</v>
      </c>
      <c r="C21" s="12">
        <f>SUMIF('ALLA ÅR'!B:B,Tabell4[[#This Row],[Namn]],'ALLA ÅR'!C:C)</f>
        <v>92</v>
      </c>
      <c r="D21" s="12">
        <f>SUMIF('ALLA ÅR'!B:B,Tabell4[[#This Row],[Namn]],'ALLA ÅR'!E:E)</f>
        <v>4</v>
      </c>
      <c r="E21" s="12">
        <f>SUMIF('ALLA ÅR'!B:B,Tabell4[[#This Row],[Namn]],'ALLA ÅR'!F:F)</f>
        <v>0</v>
      </c>
      <c r="F21" s="12">
        <f>SUMIF('ALLA ÅR'!B:B,Tabell4[[#This Row],[Namn]],'ALLA ÅR'!G:G)</f>
        <v>5</v>
      </c>
      <c r="G21" s="12">
        <f>VLOOKUP(Tabell4[[#This Row],[Namn]],'ALLA ÅR'!B:J,9,0)</f>
        <v>2025</v>
      </c>
      <c r="H21" s="12">
        <f>COUNTIF('ALLA ÅR'!B:B,Tabell4[[#This Row],[Namn]])</f>
        <v>7</v>
      </c>
      <c r="I21" s="12">
        <f>VLOOKUP(Tabell4[[#This Row],[Namn]],'ALLA ÅR'!B:L,11,0)</f>
        <v>32</v>
      </c>
      <c r="J21" s="12">
        <f>RANK(Tabell4[[#This Row],[MÅL]],F:F)</f>
        <v>37</v>
      </c>
      <c r="K21" s="12">
        <f>RANK(Tabell4[[#This Row],[VAR]],D:D)</f>
        <v>5</v>
      </c>
      <c r="L21" s="12">
        <f>RANK(Tabell4[[#This Row],[MAT]],C:C)</f>
        <v>7</v>
      </c>
      <c r="M21" s="14">
        <f>Tabell4[[#This Row],[MAT]]/Tabell4[[#This Row],[ANTAL MATCHER]]</f>
        <v>0.65248226950354615</v>
      </c>
      <c r="N21" s="12">
        <f>SUMIF('ALLA ÅR'!B:B,Tabell4[[#This Row],[Namn]],'ALLA ÅR'!H:H)</f>
        <v>141</v>
      </c>
      <c r="O21" s="12">
        <f>(Tabell4[[#This Row],[UTV]]*2)+Tabell4[[#This Row],[VAR]]</f>
        <v>4</v>
      </c>
      <c r="P21" s="12">
        <f>COUNTIF('100%'!B:B,Tabell4[[#This Row],[Namn]])</f>
        <v>0</v>
      </c>
      <c r="Q21" s="12">
        <f>_xlfn.XLOOKUP(Tabell4[[#This Row],[Namn]],Blad3!A:A,Blad3!B:B)</f>
        <v>0</v>
      </c>
      <c r="R21" s="12">
        <f>_xlfn.XLOOKUP(Tabell4[[#This Row],[Namn]],Blad3!A:A,Blad3!C:C)</f>
        <v>70</v>
      </c>
      <c r="S21" s="12">
        <f>_xlfn.XLOOKUP(Tabell4[[#This Row],[Namn]],Blad3!A:A,Blad3!D:D)</f>
        <v>22</v>
      </c>
      <c r="T21" s="12">
        <f>_xlfn.XLOOKUP(Tabell4[[#This Row],[Namn]],Blad3!A:A,Blad3!E:E)</f>
        <v>0</v>
      </c>
      <c r="U21" s="12">
        <f>RANK(Tabell4[[#This Row],[SÄS]],Tabell4[SÄS])</f>
        <v>6</v>
      </c>
      <c r="V21" s="12">
        <f>_xlfn.XLOOKUP(Tabell4[[#This Row],[Namn]],Blad3!H:H,Blad3!I:I)</f>
        <v>0</v>
      </c>
      <c r="W21" s="12">
        <f>_xlfn.XLOOKUP(Tabell4[[#This Row],[Namn]],Blad3!H:H,Blad3!J:J)</f>
        <v>2</v>
      </c>
      <c r="X21" s="12">
        <f>_xlfn.XLOOKUP(Tabell4[[#This Row],[Namn]],Blad3!H:H,Blad3!K:K)</f>
        <v>3</v>
      </c>
      <c r="Y21" s="12">
        <f>_xlfn.XLOOKUP(Tabell4[[#This Row],[Namn]],Blad3!H:H,Blad3!L:L)</f>
        <v>0</v>
      </c>
    </row>
    <row r="22" spans="1:25" x14ac:dyDescent="0.25">
      <c r="A22" s="15">
        <f>Tabell4[[#This Row],[RANK MATCHER]]</f>
        <v>8</v>
      </c>
      <c r="B22" s="11" t="s">
        <v>82</v>
      </c>
      <c r="C22" s="12">
        <f>SUMIF('ALLA ÅR'!B:B,Tabell4[[#This Row],[Namn]],'ALLA ÅR'!C:C)</f>
        <v>89</v>
      </c>
      <c r="D22" s="12">
        <f>SUMIF('ALLA ÅR'!B:B,Tabell4[[#This Row],[Namn]],'ALLA ÅR'!E:E)</f>
        <v>4</v>
      </c>
      <c r="E22" s="12">
        <f>SUMIF('ALLA ÅR'!B:B,Tabell4[[#This Row],[Namn]],'ALLA ÅR'!F:F)</f>
        <v>0</v>
      </c>
      <c r="F22" s="12">
        <f>SUMIF('ALLA ÅR'!B:B,Tabell4[[#This Row],[Namn]],'ALLA ÅR'!G:G)</f>
        <v>9</v>
      </c>
      <c r="G22" s="12">
        <f>VLOOKUP(Tabell4[[#This Row],[Namn]],'ALLA ÅR'!B:J,9,0)</f>
        <v>2022</v>
      </c>
      <c r="H22" s="12">
        <f>COUNTIF('ALLA ÅR'!B:B,Tabell4[[#This Row],[Namn]])</f>
        <v>5</v>
      </c>
      <c r="I22" s="12">
        <f>VLOOKUP(Tabell4[[#This Row],[Namn]],'ALLA ÅR'!B:L,11,0)</f>
        <v>27</v>
      </c>
      <c r="J22" s="12">
        <f>RANK(Tabell4[[#This Row],[MÅL]],F:F)</f>
        <v>25</v>
      </c>
      <c r="K22" s="12">
        <f>RANK(Tabell4[[#This Row],[VAR]],D:D)</f>
        <v>5</v>
      </c>
      <c r="L22" s="12">
        <f>RANK(Tabell4[[#This Row],[MAT]],C:C)</f>
        <v>8</v>
      </c>
      <c r="M22" s="14">
        <f>Tabell4[[#This Row],[MAT]]/Tabell4[[#This Row],[ANTAL MATCHER]]</f>
        <v>0.94680851063829785</v>
      </c>
      <c r="N22" s="12">
        <f>SUMIF('ALLA ÅR'!B:B,Tabell4[[#This Row],[Namn]],'ALLA ÅR'!H:H)</f>
        <v>94</v>
      </c>
      <c r="O22" s="12">
        <f>(Tabell4[[#This Row],[UTV]]*2)+Tabell4[[#This Row],[VAR]]</f>
        <v>4</v>
      </c>
      <c r="P22" s="12">
        <f>COUNTIF('100%'!B:B,Tabell4[[#This Row],[Namn]])</f>
        <v>2</v>
      </c>
      <c r="Q22" s="12">
        <f>_xlfn.XLOOKUP(Tabell4[[#This Row],[Namn]],Blad3!A:A,Blad3!B:B)</f>
        <v>9</v>
      </c>
      <c r="R22" s="12">
        <f>_xlfn.XLOOKUP(Tabell4[[#This Row],[Namn]],Blad3!A:A,Blad3!C:C)</f>
        <v>80</v>
      </c>
      <c r="S22" s="12">
        <f>_xlfn.XLOOKUP(Tabell4[[#This Row],[Namn]],Blad3!A:A,Blad3!D:D)</f>
        <v>0</v>
      </c>
      <c r="T22" s="12">
        <f>_xlfn.XLOOKUP(Tabell4[[#This Row],[Namn]],Blad3!A:A,Blad3!E:E)</f>
        <v>0</v>
      </c>
      <c r="U22" s="12">
        <f>RANK(Tabell4[[#This Row],[SÄS]],Tabell4[SÄS])</f>
        <v>10</v>
      </c>
      <c r="V22" s="12">
        <f>_xlfn.XLOOKUP(Tabell4[[#This Row],[Namn]],Blad3!H:H,Blad3!I:I)</f>
        <v>0</v>
      </c>
      <c r="W22" s="12">
        <f>_xlfn.XLOOKUP(Tabell4[[#This Row],[Namn]],Blad3!H:H,Blad3!J:J)</f>
        <v>9</v>
      </c>
      <c r="X22" s="12">
        <f>_xlfn.XLOOKUP(Tabell4[[#This Row],[Namn]],Blad3!H:H,Blad3!K:K)</f>
        <v>0</v>
      </c>
      <c r="Y22" s="12">
        <f>_xlfn.XLOOKUP(Tabell4[[#This Row],[Namn]],Blad3!H:H,Blad3!L:L)</f>
        <v>0</v>
      </c>
    </row>
    <row r="23" spans="1:25" x14ac:dyDescent="0.25">
      <c r="A23" s="15">
        <f>Tabell4[[#This Row],[RANK MATCHER]]</f>
        <v>9</v>
      </c>
      <c r="B23" s="11" t="s">
        <v>133</v>
      </c>
      <c r="C23" s="12">
        <f>SUMIF('ALLA ÅR'!B:B,Tabell4[[#This Row],[Namn]],'ALLA ÅR'!C:C)</f>
        <v>83</v>
      </c>
      <c r="D23" s="12">
        <f>SUMIF('ALLA ÅR'!B:B,Tabell4[[#This Row],[Namn]],'ALLA ÅR'!E:E)</f>
        <v>0</v>
      </c>
      <c r="E23" s="12">
        <f>SUMIF('ALLA ÅR'!B:B,Tabell4[[#This Row],[Namn]],'ALLA ÅR'!F:F)</f>
        <v>0</v>
      </c>
      <c r="F23" s="12">
        <f>SUMIF('ALLA ÅR'!B:B,Tabell4[[#This Row],[Namn]],'ALLA ÅR'!G:G)</f>
        <v>119</v>
      </c>
      <c r="G23" s="12">
        <f>VLOOKUP(Tabell4[[#This Row],[Namn]],'ALLA ÅR'!B:J,9,0)</f>
        <v>2016</v>
      </c>
      <c r="H23" s="12">
        <f>COUNTIF('ALLA ÅR'!B:B,Tabell4[[#This Row],[Namn]])</f>
        <v>5</v>
      </c>
      <c r="I23" s="12">
        <f>VLOOKUP(Tabell4[[#This Row],[Namn]],'ALLA ÅR'!B:L,11,0)</f>
        <v>20</v>
      </c>
      <c r="J23" s="12">
        <f>RANK(Tabell4[[#This Row],[MÅL]],F:F)</f>
        <v>1</v>
      </c>
      <c r="K23" s="12">
        <f>RANK(Tabell4[[#This Row],[VAR]],D:D)</f>
        <v>54</v>
      </c>
      <c r="L23" s="12">
        <f>RANK(Tabell4[[#This Row],[MAT]],C:C)</f>
        <v>9</v>
      </c>
      <c r="M23" s="14">
        <f>Tabell4[[#This Row],[MAT]]/Tabell4[[#This Row],[ANTAL MATCHER]]</f>
        <v>0.95402298850574707</v>
      </c>
      <c r="N23" s="12">
        <f>SUMIF('ALLA ÅR'!B:B,Tabell4[[#This Row],[Namn]],'ALLA ÅR'!H:H)</f>
        <v>87</v>
      </c>
      <c r="O23" s="12">
        <f>(Tabell4[[#This Row],[UTV]]*2)+Tabell4[[#This Row],[VAR]]</f>
        <v>0</v>
      </c>
      <c r="P23" s="12">
        <f>COUNTIF('100%'!B:B,Tabell4[[#This Row],[Namn]])</f>
        <v>3</v>
      </c>
      <c r="Q23" s="12">
        <f>_xlfn.XLOOKUP(Tabell4[[#This Row],[Namn]],Blad3!A:A,Blad3!B:B)</f>
        <v>0</v>
      </c>
      <c r="R23" s="12">
        <f>_xlfn.XLOOKUP(Tabell4[[#This Row],[Namn]],Blad3!A:A,Blad3!C:C)</f>
        <v>0</v>
      </c>
      <c r="S23" s="12">
        <f>_xlfn.XLOOKUP(Tabell4[[#This Row],[Namn]],Blad3!A:A,Blad3!D:D)</f>
        <v>0</v>
      </c>
      <c r="T23" s="12">
        <f>_xlfn.XLOOKUP(Tabell4[[#This Row],[Namn]],Blad3!A:A,Blad3!E:E)</f>
        <v>83</v>
      </c>
      <c r="U23" s="12">
        <f>RANK(Tabell4[[#This Row],[SÄS]],Tabell4[SÄS])</f>
        <v>10</v>
      </c>
      <c r="V23" s="12">
        <f>_xlfn.XLOOKUP(Tabell4[[#This Row],[Namn]],Blad3!H:H,Blad3!I:I)</f>
        <v>0</v>
      </c>
      <c r="W23" s="12">
        <f>_xlfn.XLOOKUP(Tabell4[[#This Row],[Namn]],Blad3!H:H,Blad3!J:J)</f>
        <v>0</v>
      </c>
      <c r="X23" s="12">
        <f>_xlfn.XLOOKUP(Tabell4[[#This Row],[Namn]],Blad3!H:H,Blad3!K:K)</f>
        <v>0</v>
      </c>
      <c r="Y23" s="12">
        <f>_xlfn.XLOOKUP(Tabell4[[#This Row],[Namn]],Blad3!H:H,Blad3!L:L)</f>
        <v>119</v>
      </c>
    </row>
    <row r="24" spans="1:25" x14ac:dyDescent="0.25">
      <c r="A24" s="15">
        <f>Tabell4[[#This Row],[RANK MATCHER]]</f>
        <v>10</v>
      </c>
      <c r="B24" s="11" t="s">
        <v>108</v>
      </c>
      <c r="C24" s="12">
        <f>SUMIF('ALLA ÅR'!B:B,Tabell4[[#This Row],[Namn]],'ALLA ÅR'!C:C)</f>
        <v>80</v>
      </c>
      <c r="D24" s="12">
        <f>SUMIF('ALLA ÅR'!B:B,Tabell4[[#This Row],[Namn]],'ALLA ÅR'!E:E)</f>
        <v>1</v>
      </c>
      <c r="E24" s="12">
        <f>SUMIF('ALLA ÅR'!B:B,Tabell4[[#This Row],[Namn]],'ALLA ÅR'!F:F)</f>
        <v>0</v>
      </c>
      <c r="F24" s="12">
        <f>SUMIF('ALLA ÅR'!B:B,Tabell4[[#This Row],[Namn]],'ALLA ÅR'!G:G)</f>
        <v>0</v>
      </c>
      <c r="G24" s="12">
        <f>VLOOKUP(Tabell4[[#This Row],[Namn]],'ALLA ÅR'!B:J,9,0)</f>
        <v>2019</v>
      </c>
      <c r="H24" s="12">
        <f>COUNTIF('ALLA ÅR'!B:B,Tabell4[[#This Row],[Namn]])</f>
        <v>5</v>
      </c>
      <c r="I24" s="12">
        <f>VLOOKUP(Tabell4[[#This Row],[Namn]],'ALLA ÅR'!B:L,11,0)</f>
        <v>19</v>
      </c>
      <c r="J24" s="12">
        <f>RANK(Tabell4[[#This Row],[MÅL]],F:F)</f>
        <v>107</v>
      </c>
      <c r="K24" s="12">
        <f>RANK(Tabell4[[#This Row],[VAR]],D:D)</f>
        <v>27</v>
      </c>
      <c r="L24" s="12">
        <f>RANK(Tabell4[[#This Row],[MAT]],C:C)</f>
        <v>10</v>
      </c>
      <c r="M24" s="14">
        <f>Tabell4[[#This Row],[MAT]]/Tabell4[[#This Row],[ANTAL MATCHER]]</f>
        <v>0.80808080808080807</v>
      </c>
      <c r="N24" s="12">
        <f>SUMIF('ALLA ÅR'!B:B,Tabell4[[#This Row],[Namn]],'ALLA ÅR'!H:H)</f>
        <v>99</v>
      </c>
      <c r="O24" s="12">
        <f>(Tabell4[[#This Row],[UTV]]*2)+Tabell4[[#This Row],[VAR]]</f>
        <v>1</v>
      </c>
      <c r="P24" s="12">
        <f>COUNTIF('100%'!B:B,Tabell4[[#This Row],[Namn]])</f>
        <v>1</v>
      </c>
      <c r="Q24" s="12">
        <f>_xlfn.XLOOKUP(Tabell4[[#This Row],[Namn]],Blad3!A:A,Blad3!B:B)</f>
        <v>0</v>
      </c>
      <c r="R24" s="12">
        <f>_xlfn.XLOOKUP(Tabell4[[#This Row],[Namn]],Blad3!A:A,Blad3!C:C)</f>
        <v>30</v>
      </c>
      <c r="S24" s="12">
        <f>_xlfn.XLOOKUP(Tabell4[[#This Row],[Namn]],Blad3!A:A,Blad3!D:D)</f>
        <v>16</v>
      </c>
      <c r="T24" s="12">
        <f>_xlfn.XLOOKUP(Tabell4[[#This Row],[Namn]],Blad3!A:A,Blad3!E:E)</f>
        <v>34</v>
      </c>
      <c r="U24" s="12">
        <f>RANK(Tabell4[[#This Row],[SÄS]],Tabell4[SÄS])</f>
        <v>10</v>
      </c>
      <c r="V24" s="12">
        <f>_xlfn.XLOOKUP(Tabell4[[#This Row],[Namn]],Blad3!H:H,Blad3!I:I)</f>
        <v>0</v>
      </c>
      <c r="W24" s="12">
        <f>_xlfn.XLOOKUP(Tabell4[[#This Row],[Namn]],Blad3!H:H,Blad3!J:J)</f>
        <v>0</v>
      </c>
      <c r="X24" s="12">
        <f>_xlfn.XLOOKUP(Tabell4[[#This Row],[Namn]],Blad3!H:H,Blad3!K:K)</f>
        <v>0</v>
      </c>
      <c r="Y24" s="12">
        <f>_xlfn.XLOOKUP(Tabell4[[#This Row],[Namn]],Blad3!H:H,Blad3!L:L)</f>
        <v>0</v>
      </c>
    </row>
    <row r="25" spans="1:25" x14ac:dyDescent="0.25">
      <c r="A25" s="15">
        <f>Tabell4[[#This Row],[RANK MATCHER]]</f>
        <v>11</v>
      </c>
      <c r="B25" s="11" t="s">
        <v>84</v>
      </c>
      <c r="C25" s="12">
        <f>SUMIF('ALLA ÅR'!B:B,Tabell4[[#This Row],[Namn]],'ALLA ÅR'!C:C)</f>
        <v>74</v>
      </c>
      <c r="D25" s="12">
        <f>SUMIF('ALLA ÅR'!B:B,Tabell4[[#This Row],[Namn]],'ALLA ÅR'!E:E)</f>
        <v>1</v>
      </c>
      <c r="E25" s="12">
        <f>SUMIF('ALLA ÅR'!B:B,Tabell4[[#This Row],[Namn]],'ALLA ÅR'!F:F)</f>
        <v>0</v>
      </c>
      <c r="F25" s="12">
        <f>SUMIF('ALLA ÅR'!B:B,Tabell4[[#This Row],[Namn]],'ALLA ÅR'!G:G)</f>
        <v>1</v>
      </c>
      <c r="G25" s="12">
        <f>VLOOKUP(Tabell4[[#This Row],[Namn]],'ALLA ÅR'!B:J,9,0)</f>
        <v>2022</v>
      </c>
      <c r="H25" s="12">
        <f>COUNTIF('ALLA ÅR'!B:B,Tabell4[[#This Row],[Namn]])</f>
        <v>5</v>
      </c>
      <c r="I25" s="12">
        <f>VLOOKUP(Tabell4[[#This Row],[Namn]],'ALLA ÅR'!B:L,11,0)</f>
        <v>25</v>
      </c>
      <c r="J25" s="12">
        <f>RANK(Tabell4[[#This Row],[MÅL]],F:F)</f>
        <v>67</v>
      </c>
      <c r="K25" s="12">
        <f>RANK(Tabell4[[#This Row],[VAR]],D:D)</f>
        <v>27</v>
      </c>
      <c r="L25" s="12">
        <f>RANK(Tabell4[[#This Row],[MAT]],C:C)</f>
        <v>11</v>
      </c>
      <c r="M25" s="14">
        <f>Tabell4[[#This Row],[MAT]]/Tabell4[[#This Row],[ANTAL MATCHER]]</f>
        <v>0.84090909090909094</v>
      </c>
      <c r="N25" s="12">
        <f>SUMIF('ALLA ÅR'!B:B,Tabell4[[#This Row],[Namn]],'ALLA ÅR'!H:H)</f>
        <v>88</v>
      </c>
      <c r="O25" s="12">
        <f>(Tabell4[[#This Row],[UTV]]*2)+Tabell4[[#This Row],[VAR]]</f>
        <v>1</v>
      </c>
      <c r="P25" s="12">
        <f>COUNTIF('100%'!B:B,Tabell4[[#This Row],[Namn]])</f>
        <v>1</v>
      </c>
      <c r="Q25" s="12">
        <f>_xlfn.XLOOKUP(Tabell4[[#This Row],[Namn]],Blad3!A:A,Blad3!B:B)</f>
        <v>0</v>
      </c>
      <c r="R25" s="12">
        <f>_xlfn.XLOOKUP(Tabell4[[#This Row],[Namn]],Blad3!A:A,Blad3!C:C)</f>
        <v>31</v>
      </c>
      <c r="S25" s="12">
        <f>_xlfn.XLOOKUP(Tabell4[[#This Row],[Namn]],Blad3!A:A,Blad3!D:D)</f>
        <v>0</v>
      </c>
      <c r="T25" s="12">
        <f>_xlfn.XLOOKUP(Tabell4[[#This Row],[Namn]],Blad3!A:A,Blad3!E:E)</f>
        <v>43</v>
      </c>
      <c r="U25" s="12">
        <f>RANK(Tabell4[[#This Row],[SÄS]],Tabell4[SÄS])</f>
        <v>10</v>
      </c>
      <c r="V25" s="12">
        <f>_xlfn.XLOOKUP(Tabell4[[#This Row],[Namn]],Blad3!H:H,Blad3!I:I)</f>
        <v>0</v>
      </c>
      <c r="W25" s="12">
        <f>_xlfn.XLOOKUP(Tabell4[[#This Row],[Namn]],Blad3!H:H,Blad3!J:J)</f>
        <v>0</v>
      </c>
      <c r="X25" s="12">
        <f>_xlfn.XLOOKUP(Tabell4[[#This Row],[Namn]],Blad3!H:H,Blad3!K:K)</f>
        <v>0</v>
      </c>
      <c r="Y25" s="12">
        <f>_xlfn.XLOOKUP(Tabell4[[#This Row],[Namn]],Blad3!H:H,Blad3!L:L)</f>
        <v>1</v>
      </c>
    </row>
    <row r="26" spans="1:25" x14ac:dyDescent="0.25">
      <c r="A26" s="15">
        <f>Tabell4[[#This Row],[RANK MATCHER]]</f>
        <v>12</v>
      </c>
      <c r="B26" s="11" t="s">
        <v>71</v>
      </c>
      <c r="C26" s="12">
        <f>SUMIF('ALLA ÅR'!B:B,Tabell4[[#This Row],[Namn]],'ALLA ÅR'!C:C)</f>
        <v>71</v>
      </c>
      <c r="D26" s="12">
        <f>SUMIF('ALLA ÅR'!B:B,Tabell4[[#This Row],[Namn]],'ALLA ÅR'!E:E)</f>
        <v>0</v>
      </c>
      <c r="E26" s="12">
        <f>SUMIF('ALLA ÅR'!B:B,Tabell4[[#This Row],[Namn]],'ALLA ÅR'!F:F)</f>
        <v>0</v>
      </c>
      <c r="F26" s="12">
        <f>SUMIF('ALLA ÅR'!B:B,Tabell4[[#This Row],[Namn]],'ALLA ÅR'!G:G)</f>
        <v>0</v>
      </c>
      <c r="G26" s="12">
        <f>VLOOKUP(Tabell4[[#This Row],[Namn]],'ALLA ÅR'!B:J,9,0)</f>
        <v>2023</v>
      </c>
      <c r="H26" s="12">
        <f>COUNTIF('ALLA ÅR'!B:B,Tabell4[[#This Row],[Namn]])</f>
        <v>5</v>
      </c>
      <c r="I26" s="12">
        <f>VLOOKUP(Tabell4[[#This Row],[Namn]],'ALLA ÅR'!B:L,11,0)</f>
        <v>19</v>
      </c>
      <c r="J26" s="12">
        <f>RANK(Tabell4[[#This Row],[MÅL]],F:F)</f>
        <v>107</v>
      </c>
      <c r="K26" s="12">
        <f>RANK(Tabell4[[#This Row],[VAR]],D:D)</f>
        <v>54</v>
      </c>
      <c r="L26" s="12">
        <f>RANK(Tabell4[[#This Row],[MAT]],C:C)</f>
        <v>12</v>
      </c>
      <c r="M26" s="14">
        <f>Tabell4[[#This Row],[MAT]]/Tabell4[[#This Row],[ANTAL MATCHER]]</f>
        <v>0.72448979591836737</v>
      </c>
      <c r="N26" s="12">
        <f>SUMIF('ALLA ÅR'!B:B,Tabell4[[#This Row],[Namn]],'ALLA ÅR'!H:H)</f>
        <v>98</v>
      </c>
      <c r="O26" s="12">
        <f>(Tabell4[[#This Row],[UTV]]*2)+Tabell4[[#This Row],[VAR]]</f>
        <v>0</v>
      </c>
      <c r="P26" s="12">
        <f>COUNTIF('100%'!B:B,Tabell4[[#This Row],[Namn]])</f>
        <v>0</v>
      </c>
      <c r="Q26" s="12">
        <f>_xlfn.XLOOKUP(Tabell4[[#This Row],[Namn]],Blad3!A:A,Blad3!B:B)</f>
        <v>7</v>
      </c>
      <c r="R26" s="12">
        <f>_xlfn.XLOOKUP(Tabell4[[#This Row],[Namn]],Blad3!A:A,Blad3!C:C)</f>
        <v>64</v>
      </c>
      <c r="S26" s="12">
        <f>_xlfn.XLOOKUP(Tabell4[[#This Row],[Namn]],Blad3!A:A,Blad3!D:D)</f>
        <v>0</v>
      </c>
      <c r="T26" s="12">
        <f>_xlfn.XLOOKUP(Tabell4[[#This Row],[Namn]],Blad3!A:A,Blad3!E:E)</f>
        <v>0</v>
      </c>
      <c r="U26" s="12">
        <f>RANK(Tabell4[[#This Row],[SÄS]],Tabell4[SÄS])</f>
        <v>10</v>
      </c>
      <c r="V26" s="12">
        <f>_xlfn.XLOOKUP(Tabell4[[#This Row],[Namn]],Blad3!H:H,Blad3!I:I)</f>
        <v>0</v>
      </c>
      <c r="W26" s="12">
        <f>_xlfn.XLOOKUP(Tabell4[[#This Row],[Namn]],Blad3!H:H,Blad3!J:J)</f>
        <v>0</v>
      </c>
      <c r="X26" s="12">
        <f>_xlfn.XLOOKUP(Tabell4[[#This Row],[Namn]],Blad3!H:H,Blad3!K:K)</f>
        <v>0</v>
      </c>
      <c r="Y26" s="12">
        <f>_xlfn.XLOOKUP(Tabell4[[#This Row],[Namn]],Blad3!H:H,Blad3!L:L)</f>
        <v>0</v>
      </c>
    </row>
    <row r="27" spans="1:25" x14ac:dyDescent="0.25">
      <c r="A27" s="15">
        <f>Tabell4[[#This Row],[RANK MATCHER]]</f>
        <v>13</v>
      </c>
      <c r="B27" s="11" t="s">
        <v>70</v>
      </c>
      <c r="C27" s="12">
        <f>SUMIF('ALLA ÅR'!B:B,Tabell4[[#This Row],[Namn]],'ALLA ÅR'!C:C)</f>
        <v>70</v>
      </c>
      <c r="D27" s="12">
        <f>SUMIF('ALLA ÅR'!B:B,Tabell4[[#This Row],[Namn]],'ALLA ÅR'!E:E)</f>
        <v>2</v>
      </c>
      <c r="E27" s="12">
        <f>SUMIF('ALLA ÅR'!B:B,Tabell4[[#This Row],[Namn]],'ALLA ÅR'!F:F)</f>
        <v>0</v>
      </c>
      <c r="F27" s="12">
        <f>SUMIF('ALLA ÅR'!B:B,Tabell4[[#This Row],[Namn]],'ALLA ÅR'!G:G)</f>
        <v>38</v>
      </c>
      <c r="G27" s="12">
        <f>VLOOKUP(Tabell4[[#This Row],[Namn]],'ALLA ÅR'!B:J,9,0)</f>
        <v>2023</v>
      </c>
      <c r="H27" s="12">
        <f>COUNTIF('ALLA ÅR'!B:B,Tabell4[[#This Row],[Namn]])</f>
        <v>4</v>
      </c>
      <c r="I27" s="12">
        <f>VLOOKUP(Tabell4[[#This Row],[Namn]],'ALLA ÅR'!B:L,11,0)</f>
        <v>26</v>
      </c>
      <c r="J27" s="12">
        <f>RANK(Tabell4[[#This Row],[MÅL]],F:F)</f>
        <v>5</v>
      </c>
      <c r="K27" s="12">
        <f>RANK(Tabell4[[#This Row],[VAR]],D:D)</f>
        <v>19</v>
      </c>
      <c r="L27" s="12">
        <f>RANK(Tabell4[[#This Row],[MAT]],C:C)</f>
        <v>13</v>
      </c>
      <c r="M27" s="14">
        <f>Tabell4[[#This Row],[MAT]]/Tabell4[[#This Row],[ANTAL MATCHER]]</f>
        <v>0.97222222222222221</v>
      </c>
      <c r="N27" s="12">
        <f>SUMIF('ALLA ÅR'!B:B,Tabell4[[#This Row],[Namn]],'ALLA ÅR'!H:H)</f>
        <v>72</v>
      </c>
      <c r="O27" s="12">
        <f>(Tabell4[[#This Row],[UTV]]*2)+Tabell4[[#This Row],[VAR]]</f>
        <v>2</v>
      </c>
      <c r="P27" s="12">
        <f>COUNTIF('100%'!B:B,Tabell4[[#This Row],[Namn]])</f>
        <v>2</v>
      </c>
      <c r="Q27" s="12">
        <f>_xlfn.XLOOKUP(Tabell4[[#This Row],[Namn]],Blad3!A:A,Blad3!B:B)</f>
        <v>10</v>
      </c>
      <c r="R27" s="12">
        <f>_xlfn.XLOOKUP(Tabell4[[#This Row],[Namn]],Blad3!A:A,Blad3!C:C)</f>
        <v>60</v>
      </c>
      <c r="S27" s="12">
        <f>_xlfn.XLOOKUP(Tabell4[[#This Row],[Namn]],Blad3!A:A,Blad3!D:D)</f>
        <v>0</v>
      </c>
      <c r="T27" s="12">
        <f>_xlfn.XLOOKUP(Tabell4[[#This Row],[Namn]],Blad3!A:A,Blad3!E:E)</f>
        <v>0</v>
      </c>
      <c r="U27" s="12">
        <f>RANK(Tabell4[[#This Row],[SÄS]],Tabell4[SÄS])</f>
        <v>26</v>
      </c>
      <c r="V27" s="12">
        <f>_xlfn.XLOOKUP(Tabell4[[#This Row],[Namn]],Blad3!H:H,Blad3!I:I)</f>
        <v>0</v>
      </c>
      <c r="W27" s="12">
        <f>_xlfn.XLOOKUP(Tabell4[[#This Row],[Namn]],Blad3!H:H,Blad3!J:J)</f>
        <v>38</v>
      </c>
      <c r="X27" s="12">
        <f>_xlfn.XLOOKUP(Tabell4[[#This Row],[Namn]],Blad3!H:H,Blad3!K:K)</f>
        <v>0</v>
      </c>
      <c r="Y27" s="12">
        <f>_xlfn.XLOOKUP(Tabell4[[#This Row],[Namn]],Blad3!H:H,Blad3!L:L)</f>
        <v>0</v>
      </c>
    </row>
    <row r="28" spans="1:25" x14ac:dyDescent="0.25">
      <c r="A28" s="15">
        <f>Tabell4[[#This Row],[RANK MATCHER]]</f>
        <v>14</v>
      </c>
      <c r="B28" s="11" t="s">
        <v>136</v>
      </c>
      <c r="C28" s="12">
        <f>SUMIF('ALLA ÅR'!B:B,Tabell4[[#This Row],[Namn]],'ALLA ÅR'!C:C)</f>
        <v>69</v>
      </c>
      <c r="D28" s="12">
        <f>SUMIF('ALLA ÅR'!B:B,Tabell4[[#This Row],[Namn]],'ALLA ÅR'!E:E)</f>
        <v>0</v>
      </c>
      <c r="E28" s="12">
        <f>SUMIF('ALLA ÅR'!B:B,Tabell4[[#This Row],[Namn]],'ALLA ÅR'!F:F)</f>
        <v>0</v>
      </c>
      <c r="F28" s="12">
        <f>SUMIF('ALLA ÅR'!B:B,Tabell4[[#This Row],[Namn]],'ALLA ÅR'!G:G)</f>
        <v>1</v>
      </c>
      <c r="G28" s="12">
        <f>VLOOKUP(Tabell4[[#This Row],[Namn]],'ALLA ÅR'!B:J,9,0)</f>
        <v>2016</v>
      </c>
      <c r="H28" s="12">
        <f>COUNTIF('ALLA ÅR'!B:B,Tabell4[[#This Row],[Namn]])</f>
        <v>5</v>
      </c>
      <c r="I28" s="12">
        <f>VLOOKUP(Tabell4[[#This Row],[Namn]],'ALLA ÅR'!B:L,11,0)</f>
        <v>20</v>
      </c>
      <c r="J28" s="12">
        <f>RANK(Tabell4[[#This Row],[MÅL]],F:F)</f>
        <v>67</v>
      </c>
      <c r="K28" s="12">
        <f>RANK(Tabell4[[#This Row],[VAR]],D:D)</f>
        <v>54</v>
      </c>
      <c r="L28" s="12">
        <f>RANK(Tabell4[[#This Row],[MAT]],C:C)</f>
        <v>14</v>
      </c>
      <c r="M28" s="14">
        <f>Tabell4[[#This Row],[MAT]]/Tabell4[[#This Row],[ANTAL MATCHER]]</f>
        <v>0.7931034482758621</v>
      </c>
      <c r="N28" s="12">
        <f>SUMIF('ALLA ÅR'!B:B,Tabell4[[#This Row],[Namn]],'ALLA ÅR'!H:H)</f>
        <v>87</v>
      </c>
      <c r="O28" s="12">
        <f>(Tabell4[[#This Row],[UTV]]*2)+Tabell4[[#This Row],[VAR]]</f>
        <v>0</v>
      </c>
      <c r="P28" s="12">
        <f>COUNTIF('100%'!B:B,Tabell4[[#This Row],[Namn]])</f>
        <v>0</v>
      </c>
      <c r="Q28" s="12">
        <f>_xlfn.XLOOKUP(Tabell4[[#This Row],[Namn]],Blad3!A:A,Blad3!B:B)</f>
        <v>0</v>
      </c>
      <c r="R28" s="12">
        <f>_xlfn.XLOOKUP(Tabell4[[#This Row],[Namn]],Blad3!A:A,Blad3!C:C)</f>
        <v>0</v>
      </c>
      <c r="S28" s="12">
        <f>_xlfn.XLOOKUP(Tabell4[[#This Row],[Namn]],Blad3!A:A,Blad3!D:D)</f>
        <v>0</v>
      </c>
      <c r="T28" s="12">
        <f>_xlfn.XLOOKUP(Tabell4[[#This Row],[Namn]],Blad3!A:A,Blad3!E:E)</f>
        <v>69</v>
      </c>
      <c r="U28" s="12">
        <f>RANK(Tabell4[[#This Row],[SÄS]],Tabell4[SÄS])</f>
        <v>10</v>
      </c>
      <c r="V28" s="12">
        <f>_xlfn.XLOOKUP(Tabell4[[#This Row],[Namn]],Blad3!H:H,Blad3!I:I)</f>
        <v>0</v>
      </c>
      <c r="W28" s="12">
        <f>_xlfn.XLOOKUP(Tabell4[[#This Row],[Namn]],Blad3!H:H,Blad3!J:J)</f>
        <v>0</v>
      </c>
      <c r="X28" s="12">
        <f>_xlfn.XLOOKUP(Tabell4[[#This Row],[Namn]],Blad3!H:H,Blad3!K:K)</f>
        <v>0</v>
      </c>
      <c r="Y28" s="12">
        <f>_xlfn.XLOOKUP(Tabell4[[#This Row],[Namn]],Blad3!H:H,Blad3!L:L)</f>
        <v>1</v>
      </c>
    </row>
    <row r="29" spans="1:25" x14ac:dyDescent="0.25">
      <c r="A29" s="15">
        <f>Tabell4[[#This Row],[RANK MATCHER]]</f>
        <v>15</v>
      </c>
      <c r="B29" s="11" t="s">
        <v>36</v>
      </c>
      <c r="C29" s="12">
        <f>SUMIF('ALLA ÅR'!B:B,Tabell4[[#This Row],[Namn]],'ALLA ÅR'!C:C)</f>
        <v>63</v>
      </c>
      <c r="D29" s="12">
        <f>SUMIF('ALLA ÅR'!B:B,Tabell4[[#This Row],[Namn]],'ALLA ÅR'!E:E)</f>
        <v>3</v>
      </c>
      <c r="E29" s="12">
        <f>SUMIF('ALLA ÅR'!B:B,Tabell4[[#This Row],[Namn]],'ALLA ÅR'!F:F)</f>
        <v>0</v>
      </c>
      <c r="F29" s="12">
        <f>SUMIF('ALLA ÅR'!B:B,Tabell4[[#This Row],[Namn]],'ALLA ÅR'!G:G)</f>
        <v>24</v>
      </c>
      <c r="G29" s="12">
        <f>VLOOKUP(Tabell4[[#This Row],[Namn]],'ALLA ÅR'!B:J,9,0)</f>
        <v>2026</v>
      </c>
      <c r="H29" s="12">
        <f>COUNTIF('ALLA ÅR'!B:B,Tabell4[[#This Row],[Namn]])</f>
        <v>5</v>
      </c>
      <c r="I29" s="12">
        <f>VLOOKUP(Tabell4[[#This Row],[Namn]],'ALLA ÅR'!B:L,11,0)</f>
        <v>24</v>
      </c>
      <c r="J29" s="12">
        <f>RANK(Tabell4[[#This Row],[MÅL]],F:F)</f>
        <v>10</v>
      </c>
      <c r="K29" s="12">
        <f>RANK(Tabell4[[#This Row],[VAR]],D:D)</f>
        <v>10</v>
      </c>
      <c r="L29" s="12">
        <f>RANK(Tabell4[[#This Row],[MAT]],C:C)</f>
        <v>15</v>
      </c>
      <c r="M29" s="14">
        <f>Tabell4[[#This Row],[MAT]]/Tabell4[[#This Row],[ANTAL MATCHER]]</f>
        <v>0.63</v>
      </c>
      <c r="N29" s="12">
        <f>SUMIF('ALLA ÅR'!B:B,Tabell4[[#This Row],[Namn]],'ALLA ÅR'!H:H)</f>
        <v>100</v>
      </c>
      <c r="O29" s="12">
        <f>(Tabell4[[#This Row],[UTV]]*2)+Tabell4[[#This Row],[VAR]]</f>
        <v>3</v>
      </c>
      <c r="P29" s="12">
        <f>COUNTIF('100%'!B:B,Tabell4[[#This Row],[Namn]])</f>
        <v>0</v>
      </c>
      <c r="Q29" s="12">
        <f>_xlfn.XLOOKUP(Tabell4[[#This Row],[Namn]],Blad3!A:A,Blad3!B:B)</f>
        <v>0</v>
      </c>
      <c r="R29" s="12">
        <f>_xlfn.XLOOKUP(Tabell4[[#This Row],[Namn]],Blad3!A:A,Blad3!C:C)</f>
        <v>59</v>
      </c>
      <c r="S29" s="12">
        <f>_xlfn.XLOOKUP(Tabell4[[#This Row],[Namn]],Blad3!A:A,Blad3!D:D)</f>
        <v>0</v>
      </c>
      <c r="T29" s="12">
        <f>_xlfn.XLOOKUP(Tabell4[[#This Row],[Namn]],Blad3!A:A,Blad3!E:E)</f>
        <v>4</v>
      </c>
      <c r="U29" s="12">
        <f>RANK(Tabell4[[#This Row],[SÄS]],Tabell4[SÄS])</f>
        <v>10</v>
      </c>
      <c r="V29" s="12">
        <f>_xlfn.XLOOKUP(Tabell4[[#This Row],[Namn]],Blad3!H:H,Blad3!I:I)</f>
        <v>0</v>
      </c>
      <c r="W29" s="12">
        <f>_xlfn.XLOOKUP(Tabell4[[#This Row],[Namn]],Blad3!H:H,Blad3!J:J)</f>
        <v>18</v>
      </c>
      <c r="X29" s="12">
        <f>_xlfn.XLOOKUP(Tabell4[[#This Row],[Namn]],Blad3!H:H,Blad3!K:K)</f>
        <v>0</v>
      </c>
      <c r="Y29" s="12">
        <f>_xlfn.XLOOKUP(Tabell4[[#This Row],[Namn]],Blad3!H:H,Blad3!L:L)</f>
        <v>6</v>
      </c>
    </row>
    <row r="30" spans="1:25" x14ac:dyDescent="0.25">
      <c r="A30" s="15">
        <f>Tabell4[[#This Row],[RANK MATCHER]]</f>
        <v>15</v>
      </c>
      <c r="B30" s="11" t="s">
        <v>89</v>
      </c>
      <c r="C30" s="12">
        <f>SUMIF('ALLA ÅR'!B:B,Tabell4[[#This Row],[Namn]],'ALLA ÅR'!C:C)</f>
        <v>63</v>
      </c>
      <c r="D30" s="12">
        <f>SUMIF('ALLA ÅR'!B:B,Tabell4[[#This Row],[Namn]],'ALLA ÅR'!E:E)</f>
        <v>0</v>
      </c>
      <c r="E30" s="12">
        <f>SUMIF('ALLA ÅR'!B:B,Tabell4[[#This Row],[Namn]],'ALLA ÅR'!F:F)</f>
        <v>0</v>
      </c>
      <c r="F30" s="12">
        <f>SUMIF('ALLA ÅR'!B:B,Tabell4[[#This Row],[Namn]],'ALLA ÅR'!G:G)</f>
        <v>11</v>
      </c>
      <c r="G30" s="12">
        <f>VLOOKUP(Tabell4[[#This Row],[Namn]],'ALLA ÅR'!B:J,9,0)</f>
        <v>2022</v>
      </c>
      <c r="H30" s="12">
        <f>COUNTIF('ALLA ÅR'!B:B,Tabell4[[#This Row],[Namn]])</f>
        <v>5</v>
      </c>
      <c r="I30" s="12">
        <f>VLOOKUP(Tabell4[[#This Row],[Namn]],'ALLA ÅR'!B:L,11,0)</f>
        <v>31</v>
      </c>
      <c r="J30" s="12">
        <f>RANK(Tabell4[[#This Row],[MÅL]],F:F)</f>
        <v>20</v>
      </c>
      <c r="K30" s="12">
        <f>RANK(Tabell4[[#This Row],[VAR]],D:D)</f>
        <v>54</v>
      </c>
      <c r="L30" s="12">
        <f>RANK(Tabell4[[#This Row],[MAT]],C:C)</f>
        <v>15</v>
      </c>
      <c r="M30" s="14">
        <f>Tabell4[[#This Row],[MAT]]/Tabell4[[#This Row],[ANTAL MATCHER]]</f>
        <v>0.63636363636363635</v>
      </c>
      <c r="N30" s="12">
        <f>SUMIF('ALLA ÅR'!B:B,Tabell4[[#This Row],[Namn]],'ALLA ÅR'!H:H)</f>
        <v>99</v>
      </c>
      <c r="O30" s="12">
        <f>(Tabell4[[#This Row],[UTV]]*2)+Tabell4[[#This Row],[VAR]]</f>
        <v>0</v>
      </c>
      <c r="P30" s="12">
        <f>COUNTIF('100%'!B:B,Tabell4[[#This Row],[Namn]])</f>
        <v>1</v>
      </c>
      <c r="Q30" s="12">
        <f>_xlfn.XLOOKUP(Tabell4[[#This Row],[Namn]],Blad3!A:A,Blad3!B:B)</f>
        <v>8</v>
      </c>
      <c r="R30" s="12">
        <f>_xlfn.XLOOKUP(Tabell4[[#This Row],[Namn]],Blad3!A:A,Blad3!C:C)</f>
        <v>41</v>
      </c>
      <c r="S30" s="12">
        <f>_xlfn.XLOOKUP(Tabell4[[#This Row],[Namn]],Blad3!A:A,Blad3!D:D)</f>
        <v>14</v>
      </c>
      <c r="T30" s="12">
        <f>_xlfn.XLOOKUP(Tabell4[[#This Row],[Namn]],Blad3!A:A,Blad3!E:E)</f>
        <v>0</v>
      </c>
      <c r="U30" s="12">
        <f>RANK(Tabell4[[#This Row],[SÄS]],Tabell4[SÄS])</f>
        <v>10</v>
      </c>
      <c r="V30" s="12">
        <f>_xlfn.XLOOKUP(Tabell4[[#This Row],[Namn]],Blad3!H:H,Blad3!I:I)</f>
        <v>0</v>
      </c>
      <c r="W30" s="12">
        <f>_xlfn.XLOOKUP(Tabell4[[#This Row],[Namn]],Blad3!H:H,Blad3!J:J)</f>
        <v>8</v>
      </c>
      <c r="X30" s="12">
        <f>_xlfn.XLOOKUP(Tabell4[[#This Row],[Namn]],Blad3!H:H,Blad3!K:K)</f>
        <v>3</v>
      </c>
      <c r="Y30" s="12">
        <f>_xlfn.XLOOKUP(Tabell4[[#This Row],[Namn]],Blad3!H:H,Blad3!L:L)</f>
        <v>0</v>
      </c>
    </row>
    <row r="31" spans="1:25" x14ac:dyDescent="0.25">
      <c r="A31" s="15">
        <f>Tabell4[[#This Row],[RANK MATCHER]]</f>
        <v>17</v>
      </c>
      <c r="B31" s="11" t="s">
        <v>135</v>
      </c>
      <c r="C31" s="12">
        <f>SUMIF('ALLA ÅR'!B:B,Tabell4[[#This Row],[Namn]],'ALLA ÅR'!C:C)</f>
        <v>60</v>
      </c>
      <c r="D31" s="12">
        <f>SUMIF('ALLA ÅR'!B:B,Tabell4[[#This Row],[Namn]],'ALLA ÅR'!E:E)</f>
        <v>3</v>
      </c>
      <c r="E31" s="12">
        <f>SUMIF('ALLA ÅR'!B:B,Tabell4[[#This Row],[Namn]],'ALLA ÅR'!F:F)</f>
        <v>0</v>
      </c>
      <c r="F31" s="12">
        <f>SUMIF('ALLA ÅR'!B:B,Tabell4[[#This Row],[Namn]],'ALLA ÅR'!G:G)</f>
        <v>6</v>
      </c>
      <c r="G31" s="12">
        <f>VLOOKUP(Tabell4[[#This Row],[Namn]],'ALLA ÅR'!B:J,9,0)</f>
        <v>2016</v>
      </c>
      <c r="H31" s="12">
        <f>COUNTIF('ALLA ÅR'!B:B,Tabell4[[#This Row],[Namn]])</f>
        <v>7</v>
      </c>
      <c r="I31" s="12">
        <f>VLOOKUP(Tabell4[[#This Row],[Namn]],'ALLA ÅR'!B:L,11,0)</f>
        <v>20</v>
      </c>
      <c r="J31" s="12">
        <f>RANK(Tabell4[[#This Row],[MÅL]],F:F)</f>
        <v>31</v>
      </c>
      <c r="K31" s="12">
        <f>RANK(Tabell4[[#This Row],[VAR]],D:D)</f>
        <v>10</v>
      </c>
      <c r="L31" s="12">
        <f>RANK(Tabell4[[#This Row],[MAT]],C:C)</f>
        <v>17</v>
      </c>
      <c r="M31" s="14">
        <f>Tabell4[[#This Row],[MAT]]/Tabell4[[#This Row],[ANTAL MATCHER]]</f>
        <v>0.45112781954887216</v>
      </c>
      <c r="N31" s="12">
        <f>SUMIF('ALLA ÅR'!B:B,Tabell4[[#This Row],[Namn]],'ALLA ÅR'!H:H)</f>
        <v>133</v>
      </c>
      <c r="O31" s="12">
        <f>(Tabell4[[#This Row],[UTV]]*2)+Tabell4[[#This Row],[VAR]]</f>
        <v>3</v>
      </c>
      <c r="P31" s="12">
        <f>COUNTIF('100%'!B:B,Tabell4[[#This Row],[Namn]])</f>
        <v>1</v>
      </c>
      <c r="Q31" s="12">
        <f>_xlfn.XLOOKUP(Tabell4[[#This Row],[Namn]],Blad3!A:A,Blad3!B:B)</f>
        <v>0</v>
      </c>
      <c r="R31" s="12">
        <f>_xlfn.XLOOKUP(Tabell4[[#This Row],[Namn]],Blad3!A:A,Blad3!C:C)</f>
        <v>0</v>
      </c>
      <c r="S31" s="12">
        <f>_xlfn.XLOOKUP(Tabell4[[#This Row],[Namn]],Blad3!A:A,Blad3!D:D)</f>
        <v>3</v>
      </c>
      <c r="T31" s="12">
        <f>_xlfn.XLOOKUP(Tabell4[[#This Row],[Namn]],Blad3!A:A,Blad3!E:E)</f>
        <v>57</v>
      </c>
      <c r="U31" s="12">
        <f>RANK(Tabell4[[#This Row],[SÄS]],Tabell4[SÄS])</f>
        <v>6</v>
      </c>
      <c r="V31" s="12">
        <f>_xlfn.XLOOKUP(Tabell4[[#This Row],[Namn]],Blad3!H:H,Blad3!I:I)</f>
        <v>0</v>
      </c>
      <c r="W31" s="12">
        <f>_xlfn.XLOOKUP(Tabell4[[#This Row],[Namn]],Blad3!H:H,Blad3!J:J)</f>
        <v>0</v>
      </c>
      <c r="X31" s="12">
        <f>_xlfn.XLOOKUP(Tabell4[[#This Row],[Namn]],Blad3!H:H,Blad3!K:K)</f>
        <v>0</v>
      </c>
      <c r="Y31" s="12">
        <f>_xlfn.XLOOKUP(Tabell4[[#This Row],[Namn]],Blad3!H:H,Blad3!L:L)</f>
        <v>6</v>
      </c>
    </row>
    <row r="32" spans="1:25" x14ac:dyDescent="0.25">
      <c r="A32" s="15">
        <f>Tabell4[[#This Row],[RANK MATCHER]]</f>
        <v>18</v>
      </c>
      <c r="B32" s="11" t="s">
        <v>83</v>
      </c>
      <c r="C32" s="12">
        <f>SUMIF('ALLA ÅR'!B:B,Tabell4[[#This Row],[Namn]],'ALLA ÅR'!C:C)</f>
        <v>56</v>
      </c>
      <c r="D32" s="12">
        <f>SUMIF('ALLA ÅR'!B:B,Tabell4[[#This Row],[Namn]],'ALLA ÅR'!E:E)</f>
        <v>1</v>
      </c>
      <c r="E32" s="12">
        <f>SUMIF('ALLA ÅR'!B:B,Tabell4[[#This Row],[Namn]],'ALLA ÅR'!F:F)</f>
        <v>0</v>
      </c>
      <c r="F32" s="12">
        <f>SUMIF('ALLA ÅR'!B:B,Tabell4[[#This Row],[Namn]],'ALLA ÅR'!G:G)</f>
        <v>82</v>
      </c>
      <c r="G32" s="12">
        <f>VLOOKUP(Tabell4[[#This Row],[Namn]],'ALLA ÅR'!B:J,9,0)</f>
        <v>2022</v>
      </c>
      <c r="H32" s="12">
        <f>COUNTIF('ALLA ÅR'!B:B,Tabell4[[#This Row],[Namn]])</f>
        <v>3</v>
      </c>
      <c r="I32" s="12">
        <f>VLOOKUP(Tabell4[[#This Row],[Namn]],'ALLA ÅR'!B:L,11,0)</f>
        <v>37</v>
      </c>
      <c r="J32" s="12">
        <f>RANK(Tabell4[[#This Row],[MÅL]],F:F)</f>
        <v>3</v>
      </c>
      <c r="K32" s="12">
        <f>RANK(Tabell4[[#This Row],[VAR]],D:D)</f>
        <v>27</v>
      </c>
      <c r="L32" s="12">
        <f>RANK(Tabell4[[#This Row],[MAT]],C:C)</f>
        <v>18</v>
      </c>
      <c r="M32" s="14">
        <f>Tabell4[[#This Row],[MAT]]/Tabell4[[#This Row],[ANTAL MATCHER]]</f>
        <v>0.86153846153846159</v>
      </c>
      <c r="N32" s="12">
        <f>SUMIF('ALLA ÅR'!B:B,Tabell4[[#This Row],[Namn]],'ALLA ÅR'!H:H)</f>
        <v>65</v>
      </c>
      <c r="O32" s="12">
        <f>(Tabell4[[#This Row],[UTV]]*2)+Tabell4[[#This Row],[VAR]]</f>
        <v>1</v>
      </c>
      <c r="P32" s="12">
        <f>COUNTIF('100%'!B:B,Tabell4[[#This Row],[Namn]])</f>
        <v>0</v>
      </c>
      <c r="Q32" s="12">
        <f>_xlfn.XLOOKUP(Tabell4[[#This Row],[Namn]],Blad3!A:A,Blad3!B:B)</f>
        <v>9</v>
      </c>
      <c r="R32" s="12">
        <f>_xlfn.XLOOKUP(Tabell4[[#This Row],[Namn]],Blad3!A:A,Blad3!C:C)</f>
        <v>47</v>
      </c>
      <c r="S32" s="12">
        <f>_xlfn.XLOOKUP(Tabell4[[#This Row],[Namn]],Blad3!A:A,Blad3!D:D)</f>
        <v>0</v>
      </c>
      <c r="T32" s="12">
        <f>_xlfn.XLOOKUP(Tabell4[[#This Row],[Namn]],Blad3!A:A,Blad3!E:E)</f>
        <v>0</v>
      </c>
      <c r="U32" s="12">
        <f>RANK(Tabell4[[#This Row],[SÄS]],Tabell4[SÄS])</f>
        <v>33</v>
      </c>
      <c r="V32" s="12">
        <f>_xlfn.XLOOKUP(Tabell4[[#This Row],[Namn]],Blad3!H:H,Blad3!I:I)</f>
        <v>6</v>
      </c>
      <c r="W32" s="12">
        <f>_xlfn.XLOOKUP(Tabell4[[#This Row],[Namn]],Blad3!H:H,Blad3!J:J)</f>
        <v>76</v>
      </c>
      <c r="X32" s="12">
        <f>_xlfn.XLOOKUP(Tabell4[[#This Row],[Namn]],Blad3!H:H,Blad3!K:K)</f>
        <v>0</v>
      </c>
      <c r="Y32" s="12">
        <f>_xlfn.XLOOKUP(Tabell4[[#This Row],[Namn]],Blad3!H:H,Blad3!L:L)</f>
        <v>0</v>
      </c>
    </row>
    <row r="33" spans="1:25" x14ac:dyDescent="0.25">
      <c r="A33" s="15">
        <f>Tabell4[[#This Row],[RANK MATCHER]]</f>
        <v>19</v>
      </c>
      <c r="B33" s="11" t="s">
        <v>43</v>
      </c>
      <c r="C33" s="12">
        <f>SUMIF('ALLA ÅR'!B:B,Tabell4[[#This Row],[Namn]],'ALLA ÅR'!C:C)</f>
        <v>53</v>
      </c>
      <c r="D33" s="12">
        <f>SUMIF('ALLA ÅR'!B:B,Tabell4[[#This Row],[Namn]],'ALLA ÅR'!E:E)</f>
        <v>3</v>
      </c>
      <c r="E33" s="12">
        <f>SUMIF('ALLA ÅR'!B:B,Tabell4[[#This Row],[Namn]],'ALLA ÅR'!F:F)</f>
        <v>0</v>
      </c>
      <c r="F33" s="12">
        <f>SUMIF('ALLA ÅR'!B:B,Tabell4[[#This Row],[Namn]],'ALLA ÅR'!G:G)</f>
        <v>25</v>
      </c>
      <c r="G33" s="12">
        <f>VLOOKUP(Tabell4[[#This Row],[Namn]],'ALLA ÅR'!B:J,9,0)</f>
        <v>2026</v>
      </c>
      <c r="H33" s="12">
        <f>COUNTIF('ALLA ÅR'!B:B,Tabell4[[#This Row],[Namn]])</f>
        <v>5</v>
      </c>
      <c r="I33" s="12">
        <f>VLOOKUP(Tabell4[[#This Row],[Namn]],'ALLA ÅR'!B:L,11,0)</f>
        <v>24</v>
      </c>
      <c r="J33" s="12">
        <f>RANK(Tabell4[[#This Row],[MÅL]],F:F)</f>
        <v>9</v>
      </c>
      <c r="K33" s="12">
        <f>RANK(Tabell4[[#This Row],[VAR]],D:D)</f>
        <v>10</v>
      </c>
      <c r="L33" s="12">
        <f>RANK(Tabell4[[#This Row],[MAT]],C:C)</f>
        <v>19</v>
      </c>
      <c r="M33" s="14">
        <f>Tabell4[[#This Row],[MAT]]/Tabell4[[#This Row],[ANTAL MATCHER]]</f>
        <v>0.53</v>
      </c>
      <c r="N33" s="12">
        <f>SUMIF('ALLA ÅR'!B:B,Tabell4[[#This Row],[Namn]],'ALLA ÅR'!H:H)</f>
        <v>100</v>
      </c>
      <c r="O33" s="12">
        <f>(Tabell4[[#This Row],[UTV]]*2)+Tabell4[[#This Row],[VAR]]</f>
        <v>3</v>
      </c>
      <c r="P33" s="12">
        <f>COUNTIF('100%'!B:B,Tabell4[[#This Row],[Namn]])</f>
        <v>0</v>
      </c>
      <c r="Q33" s="12">
        <f>_xlfn.XLOOKUP(Tabell4[[#This Row],[Namn]],Blad3!A:A,Blad3!B:B)</f>
        <v>0</v>
      </c>
      <c r="R33" s="12">
        <f>_xlfn.XLOOKUP(Tabell4[[#This Row],[Namn]],Blad3!A:A,Blad3!C:C)</f>
        <v>37</v>
      </c>
      <c r="S33" s="12">
        <f>_xlfn.XLOOKUP(Tabell4[[#This Row],[Namn]],Blad3!A:A,Blad3!D:D)</f>
        <v>13</v>
      </c>
      <c r="T33" s="12">
        <f>_xlfn.XLOOKUP(Tabell4[[#This Row],[Namn]],Blad3!A:A,Blad3!E:E)</f>
        <v>3</v>
      </c>
      <c r="U33" s="12">
        <f>RANK(Tabell4[[#This Row],[SÄS]],Tabell4[SÄS])</f>
        <v>10</v>
      </c>
      <c r="V33" s="12">
        <f>_xlfn.XLOOKUP(Tabell4[[#This Row],[Namn]],Blad3!H:H,Blad3!I:I)</f>
        <v>0</v>
      </c>
      <c r="W33" s="12">
        <f>_xlfn.XLOOKUP(Tabell4[[#This Row],[Namn]],Blad3!H:H,Blad3!J:J)</f>
        <v>10</v>
      </c>
      <c r="X33" s="12">
        <f>_xlfn.XLOOKUP(Tabell4[[#This Row],[Namn]],Blad3!H:H,Blad3!K:K)</f>
        <v>9</v>
      </c>
      <c r="Y33" s="12">
        <f>_xlfn.XLOOKUP(Tabell4[[#This Row],[Namn]],Blad3!H:H,Blad3!L:L)</f>
        <v>6</v>
      </c>
    </row>
    <row r="34" spans="1:25" x14ac:dyDescent="0.25">
      <c r="A34" s="15">
        <f>Tabell4[[#This Row],[RANK MATCHER]]</f>
        <v>20</v>
      </c>
      <c r="B34" s="11" t="s">
        <v>80</v>
      </c>
      <c r="C34" s="12">
        <f>SUMIF('ALLA ÅR'!B:B,Tabell4[[#This Row],[Namn]],'ALLA ÅR'!C:C)</f>
        <v>50</v>
      </c>
      <c r="D34" s="12">
        <f>SUMIF('ALLA ÅR'!B:B,Tabell4[[#This Row],[Namn]],'ALLA ÅR'!E:E)</f>
        <v>0</v>
      </c>
      <c r="E34" s="12">
        <f>SUMIF('ALLA ÅR'!B:B,Tabell4[[#This Row],[Namn]],'ALLA ÅR'!F:F)</f>
        <v>0</v>
      </c>
      <c r="F34" s="12">
        <f>SUMIF('ALLA ÅR'!B:B,Tabell4[[#This Row],[Namn]],'ALLA ÅR'!G:G)</f>
        <v>6</v>
      </c>
      <c r="G34" s="12">
        <f>VLOOKUP(Tabell4[[#This Row],[Namn]],'ALLA ÅR'!B:J,9,0)</f>
        <v>2023</v>
      </c>
      <c r="H34" s="12">
        <f>COUNTIF('ALLA ÅR'!B:B,Tabell4[[#This Row],[Namn]])</f>
        <v>5</v>
      </c>
      <c r="I34" s="12">
        <f>VLOOKUP(Tabell4[[#This Row],[Namn]],'ALLA ÅR'!B:L,11,0)</f>
        <v>19</v>
      </c>
      <c r="J34" s="12">
        <f>RANK(Tabell4[[#This Row],[MÅL]],F:F)</f>
        <v>31</v>
      </c>
      <c r="K34" s="12">
        <f>RANK(Tabell4[[#This Row],[VAR]],D:D)</f>
        <v>54</v>
      </c>
      <c r="L34" s="12">
        <f>RANK(Tabell4[[#This Row],[MAT]],C:C)</f>
        <v>20</v>
      </c>
      <c r="M34" s="14">
        <f>Tabell4[[#This Row],[MAT]]/Tabell4[[#This Row],[ANTAL MATCHER]]</f>
        <v>0.51020408163265307</v>
      </c>
      <c r="N34" s="12">
        <f>SUMIF('ALLA ÅR'!B:B,Tabell4[[#This Row],[Namn]],'ALLA ÅR'!H:H)</f>
        <v>98</v>
      </c>
      <c r="O34" s="12">
        <f>(Tabell4[[#This Row],[UTV]]*2)+Tabell4[[#This Row],[VAR]]</f>
        <v>0</v>
      </c>
      <c r="P34" s="12">
        <f>COUNTIF('100%'!B:B,Tabell4[[#This Row],[Namn]])</f>
        <v>1</v>
      </c>
      <c r="Q34" s="12">
        <f>_xlfn.XLOOKUP(Tabell4[[#This Row],[Namn]],Blad3!A:A,Blad3!B:B)</f>
        <v>2</v>
      </c>
      <c r="R34" s="12">
        <f>_xlfn.XLOOKUP(Tabell4[[#This Row],[Namn]],Blad3!A:A,Blad3!C:C)</f>
        <v>48</v>
      </c>
      <c r="S34" s="12">
        <f>_xlfn.XLOOKUP(Tabell4[[#This Row],[Namn]],Blad3!A:A,Blad3!D:D)</f>
        <v>0</v>
      </c>
      <c r="T34" s="12">
        <f>_xlfn.XLOOKUP(Tabell4[[#This Row],[Namn]],Blad3!A:A,Blad3!E:E)</f>
        <v>0</v>
      </c>
      <c r="U34" s="12">
        <f>RANK(Tabell4[[#This Row],[SÄS]],Tabell4[SÄS])</f>
        <v>10</v>
      </c>
      <c r="V34" s="12">
        <f>_xlfn.XLOOKUP(Tabell4[[#This Row],[Namn]],Blad3!H:H,Blad3!I:I)</f>
        <v>0</v>
      </c>
      <c r="W34" s="12">
        <f>_xlfn.XLOOKUP(Tabell4[[#This Row],[Namn]],Blad3!H:H,Blad3!J:J)</f>
        <v>6</v>
      </c>
      <c r="X34" s="12">
        <f>_xlfn.XLOOKUP(Tabell4[[#This Row],[Namn]],Blad3!H:H,Blad3!K:K)</f>
        <v>0</v>
      </c>
      <c r="Y34" s="12">
        <f>_xlfn.XLOOKUP(Tabell4[[#This Row],[Namn]],Blad3!H:H,Blad3!L:L)</f>
        <v>0</v>
      </c>
    </row>
    <row r="35" spans="1:25" x14ac:dyDescent="0.25">
      <c r="A35" s="15">
        <f>Tabell4[[#This Row],[RANK MATCHER]]</f>
        <v>21</v>
      </c>
      <c r="B35" s="11" t="s">
        <v>168</v>
      </c>
      <c r="C35" s="12">
        <f>SUMIF('ALLA ÅR'!B:B,Tabell4[[#This Row],[Namn]],'ALLA ÅR'!C:C)</f>
        <v>49</v>
      </c>
      <c r="D35" s="12">
        <f>SUMIF('ALLA ÅR'!B:B,Tabell4[[#This Row],[Namn]],'ALLA ÅR'!E:E)</f>
        <v>2</v>
      </c>
      <c r="E35" s="12">
        <f>SUMIF('ALLA ÅR'!B:B,Tabell4[[#This Row],[Namn]],'ALLA ÅR'!F:F)</f>
        <v>0</v>
      </c>
      <c r="F35" s="12">
        <f>SUMIF('ALLA ÅR'!B:B,Tabell4[[#This Row],[Namn]],'ALLA ÅR'!G:G)</f>
        <v>0</v>
      </c>
      <c r="G35" s="12">
        <f>VLOOKUP(Tabell4[[#This Row],[Namn]],'ALLA ÅR'!B:J,9,0)</f>
        <v>2014</v>
      </c>
      <c r="H35" s="12">
        <f>COUNTIF('ALLA ÅR'!B:B,Tabell4[[#This Row],[Namn]])</f>
        <v>4</v>
      </c>
      <c r="I35" s="12">
        <f>VLOOKUP(Tabell4[[#This Row],[Namn]],'ALLA ÅR'!B:L,11,0)</f>
        <v>45</v>
      </c>
      <c r="J35" s="12">
        <f>RANK(Tabell4[[#This Row],[MÅL]],F:F)</f>
        <v>107</v>
      </c>
      <c r="K35" s="12">
        <f>RANK(Tabell4[[#This Row],[VAR]],D:D)</f>
        <v>19</v>
      </c>
      <c r="L35" s="12">
        <f>RANK(Tabell4[[#This Row],[MAT]],C:C)</f>
        <v>21</v>
      </c>
      <c r="M35" s="14">
        <f>Tabell4[[#This Row],[MAT]]/Tabell4[[#This Row],[ANTAL MATCHER]]</f>
        <v>0.68055555555555558</v>
      </c>
      <c r="N35" s="12">
        <f>SUMIF('ALLA ÅR'!B:B,Tabell4[[#This Row],[Namn]],'ALLA ÅR'!H:H)</f>
        <v>72</v>
      </c>
      <c r="O35" s="12">
        <f>(Tabell4[[#This Row],[UTV]]*2)+Tabell4[[#This Row],[VAR]]</f>
        <v>2</v>
      </c>
      <c r="P35" s="12">
        <f>COUNTIF('100%'!B:B,Tabell4[[#This Row],[Namn]])</f>
        <v>2</v>
      </c>
      <c r="Q35" s="12">
        <f>_xlfn.XLOOKUP(Tabell4[[#This Row],[Namn]],Blad3!A:A,Blad3!B:B)</f>
        <v>0</v>
      </c>
      <c r="R35" s="12">
        <f>_xlfn.XLOOKUP(Tabell4[[#This Row],[Namn]],Blad3!A:A,Blad3!C:C)</f>
        <v>0</v>
      </c>
      <c r="S35" s="12">
        <f>_xlfn.XLOOKUP(Tabell4[[#This Row],[Namn]],Blad3!A:A,Blad3!D:D)</f>
        <v>2</v>
      </c>
      <c r="T35" s="12">
        <f>_xlfn.XLOOKUP(Tabell4[[#This Row],[Namn]],Blad3!A:A,Blad3!E:E)</f>
        <v>47</v>
      </c>
      <c r="U35" s="12">
        <f>RANK(Tabell4[[#This Row],[SÄS]],Tabell4[SÄS])</f>
        <v>26</v>
      </c>
      <c r="V35" s="12">
        <f>_xlfn.XLOOKUP(Tabell4[[#This Row],[Namn]],Blad3!H:H,Blad3!I:I)</f>
        <v>0</v>
      </c>
      <c r="W35" s="12">
        <f>_xlfn.XLOOKUP(Tabell4[[#This Row],[Namn]],Blad3!H:H,Blad3!J:J)</f>
        <v>0</v>
      </c>
      <c r="X35" s="12">
        <f>_xlfn.XLOOKUP(Tabell4[[#This Row],[Namn]],Blad3!H:H,Blad3!K:K)</f>
        <v>0</v>
      </c>
      <c r="Y35" s="12">
        <f>_xlfn.XLOOKUP(Tabell4[[#This Row],[Namn]],Blad3!H:H,Blad3!L:L)</f>
        <v>0</v>
      </c>
    </row>
    <row r="36" spans="1:25" x14ac:dyDescent="0.25">
      <c r="A36" s="15">
        <f>Tabell4[[#This Row],[RANK MATCHER]]</f>
        <v>22</v>
      </c>
      <c r="B36" s="11" t="s">
        <v>64</v>
      </c>
      <c r="C36" s="12">
        <f>SUMIF('ALLA ÅR'!B:B,Tabell4[[#This Row],[Namn]],'ALLA ÅR'!C:C)</f>
        <v>48</v>
      </c>
      <c r="D36" s="12">
        <f>SUMIF('ALLA ÅR'!B:B,Tabell4[[#This Row],[Namn]],'ALLA ÅR'!E:E)</f>
        <v>1</v>
      </c>
      <c r="E36" s="12">
        <f>SUMIF('ALLA ÅR'!B:B,Tabell4[[#This Row],[Namn]],'ALLA ÅR'!F:F)</f>
        <v>0</v>
      </c>
      <c r="F36" s="12">
        <f>SUMIF('ALLA ÅR'!B:B,Tabell4[[#This Row],[Namn]],'ALLA ÅR'!G:G)</f>
        <v>14</v>
      </c>
      <c r="G36" s="12">
        <f>VLOOKUP(Tabell4[[#This Row],[Namn]],'ALLA ÅR'!B:J,9,0)</f>
        <v>2024</v>
      </c>
      <c r="H36" s="12">
        <f>COUNTIF('ALLA ÅR'!B:B,Tabell4[[#This Row],[Namn]])</f>
        <v>8</v>
      </c>
      <c r="I36" s="12">
        <f>VLOOKUP(Tabell4[[#This Row],[Namn]],'ALLA ÅR'!B:L,11,0)</f>
        <v>23</v>
      </c>
      <c r="J36" s="12">
        <f>RANK(Tabell4[[#This Row],[MÅL]],F:F)</f>
        <v>13</v>
      </c>
      <c r="K36" s="12">
        <f>RANK(Tabell4[[#This Row],[VAR]],D:D)</f>
        <v>27</v>
      </c>
      <c r="L36" s="12">
        <f>RANK(Tabell4[[#This Row],[MAT]],C:C)</f>
        <v>22</v>
      </c>
      <c r="M36" s="14">
        <f>Tabell4[[#This Row],[MAT]]/Tabell4[[#This Row],[ANTAL MATCHER]]</f>
        <v>0.30769230769230771</v>
      </c>
      <c r="N36" s="12">
        <f>SUMIF('ALLA ÅR'!B:B,Tabell4[[#This Row],[Namn]],'ALLA ÅR'!H:H)</f>
        <v>156</v>
      </c>
      <c r="O36" s="12">
        <f>(Tabell4[[#This Row],[UTV]]*2)+Tabell4[[#This Row],[VAR]]</f>
        <v>1</v>
      </c>
      <c r="P36" s="12">
        <f>COUNTIF('100%'!B:B,Tabell4[[#This Row],[Namn]])</f>
        <v>1</v>
      </c>
      <c r="Q36" s="12">
        <f>_xlfn.XLOOKUP(Tabell4[[#This Row],[Namn]],Blad3!A:A,Blad3!B:B)</f>
        <v>7</v>
      </c>
      <c r="R36" s="12">
        <f>_xlfn.XLOOKUP(Tabell4[[#This Row],[Namn]],Blad3!A:A,Blad3!C:C)</f>
        <v>18</v>
      </c>
      <c r="S36" s="12">
        <f>_xlfn.XLOOKUP(Tabell4[[#This Row],[Namn]],Blad3!A:A,Blad3!D:D)</f>
        <v>16</v>
      </c>
      <c r="T36" s="12">
        <f>_xlfn.XLOOKUP(Tabell4[[#This Row],[Namn]],Blad3!A:A,Blad3!E:E)</f>
        <v>7</v>
      </c>
      <c r="U36" s="12">
        <f>RANK(Tabell4[[#This Row],[SÄS]],Tabell4[SÄS])</f>
        <v>4</v>
      </c>
      <c r="V36" s="12">
        <f>_xlfn.XLOOKUP(Tabell4[[#This Row],[Namn]],Blad3!H:H,Blad3!I:I)</f>
        <v>1</v>
      </c>
      <c r="W36" s="12">
        <f>_xlfn.XLOOKUP(Tabell4[[#This Row],[Namn]],Blad3!H:H,Blad3!J:J)</f>
        <v>3</v>
      </c>
      <c r="X36" s="12">
        <f>_xlfn.XLOOKUP(Tabell4[[#This Row],[Namn]],Blad3!H:H,Blad3!K:K)</f>
        <v>5</v>
      </c>
      <c r="Y36" s="12">
        <f>_xlfn.XLOOKUP(Tabell4[[#This Row],[Namn]],Blad3!H:H,Blad3!L:L)</f>
        <v>5</v>
      </c>
    </row>
    <row r="37" spans="1:25" x14ac:dyDescent="0.25">
      <c r="A37" s="15">
        <f>Tabell4[[#This Row],[RANK MATCHER]]</f>
        <v>22</v>
      </c>
      <c r="B37" s="11" t="s">
        <v>105</v>
      </c>
      <c r="C37" s="12">
        <f>SUMIF('ALLA ÅR'!B:B,Tabell4[[#This Row],[Namn]],'ALLA ÅR'!C:C)</f>
        <v>48</v>
      </c>
      <c r="D37" s="12">
        <f>SUMIF('ALLA ÅR'!B:B,Tabell4[[#This Row],[Namn]],'ALLA ÅR'!E:E)</f>
        <v>7</v>
      </c>
      <c r="E37" s="12">
        <f>SUMIF('ALLA ÅR'!B:B,Tabell4[[#This Row],[Namn]],'ALLA ÅR'!F:F)</f>
        <v>0</v>
      </c>
      <c r="F37" s="12">
        <f>SUMIF('ALLA ÅR'!B:B,Tabell4[[#This Row],[Namn]],'ALLA ÅR'!G:G)</f>
        <v>53</v>
      </c>
      <c r="G37" s="12">
        <f>VLOOKUP(Tabell4[[#This Row],[Namn]],'ALLA ÅR'!B:J,9,0)</f>
        <v>2019</v>
      </c>
      <c r="H37" s="12">
        <f>COUNTIF('ALLA ÅR'!B:B,Tabell4[[#This Row],[Namn]])</f>
        <v>3</v>
      </c>
      <c r="I37" s="12">
        <f>VLOOKUP(Tabell4[[#This Row],[Namn]],'ALLA ÅR'!B:L,11,0)</f>
        <v>34</v>
      </c>
      <c r="J37" s="12">
        <f>RANK(Tabell4[[#This Row],[MÅL]],F:F)</f>
        <v>4</v>
      </c>
      <c r="K37" s="12">
        <f>RANK(Tabell4[[#This Row],[VAR]],D:D)</f>
        <v>3</v>
      </c>
      <c r="L37" s="12">
        <f>RANK(Tabell4[[#This Row],[MAT]],C:C)</f>
        <v>22</v>
      </c>
      <c r="M37" s="14">
        <f>Tabell4[[#This Row],[MAT]]/Tabell4[[#This Row],[ANTAL MATCHER]]</f>
        <v>0.8</v>
      </c>
      <c r="N37" s="12">
        <f>SUMIF('ALLA ÅR'!B:B,Tabell4[[#This Row],[Namn]],'ALLA ÅR'!H:H)</f>
        <v>60</v>
      </c>
      <c r="O37" s="12">
        <f>(Tabell4[[#This Row],[UTV]]*2)+Tabell4[[#This Row],[VAR]]</f>
        <v>7</v>
      </c>
      <c r="P37" s="12">
        <f>COUNTIF('100%'!B:B,Tabell4[[#This Row],[Namn]])</f>
        <v>1</v>
      </c>
      <c r="Q37" s="12">
        <f>_xlfn.XLOOKUP(Tabell4[[#This Row],[Namn]],Blad3!A:A,Blad3!B:B)</f>
        <v>0</v>
      </c>
      <c r="R37" s="12">
        <f>_xlfn.XLOOKUP(Tabell4[[#This Row],[Namn]],Blad3!A:A,Blad3!C:C)</f>
        <v>40</v>
      </c>
      <c r="S37" s="12">
        <f>_xlfn.XLOOKUP(Tabell4[[#This Row],[Namn]],Blad3!A:A,Blad3!D:D)</f>
        <v>8</v>
      </c>
      <c r="T37" s="12">
        <f>_xlfn.XLOOKUP(Tabell4[[#This Row],[Namn]],Blad3!A:A,Blad3!E:E)</f>
        <v>0</v>
      </c>
      <c r="U37" s="12">
        <f>RANK(Tabell4[[#This Row],[SÄS]],Tabell4[SÄS])</f>
        <v>33</v>
      </c>
      <c r="V37" s="12">
        <f>_xlfn.XLOOKUP(Tabell4[[#This Row],[Namn]],Blad3!H:H,Blad3!I:I)</f>
        <v>0</v>
      </c>
      <c r="W37" s="12">
        <f>_xlfn.XLOOKUP(Tabell4[[#This Row],[Namn]],Blad3!H:H,Blad3!J:J)</f>
        <v>43</v>
      </c>
      <c r="X37" s="12">
        <f>_xlfn.XLOOKUP(Tabell4[[#This Row],[Namn]],Blad3!H:H,Blad3!K:K)</f>
        <v>10</v>
      </c>
      <c r="Y37" s="12">
        <f>_xlfn.XLOOKUP(Tabell4[[#This Row],[Namn]],Blad3!H:H,Blad3!L:L)</f>
        <v>0</v>
      </c>
    </row>
    <row r="38" spans="1:25" x14ac:dyDescent="0.25">
      <c r="A38" s="15">
        <f>Tabell4[[#This Row],[RANK MATCHER]]</f>
        <v>24</v>
      </c>
      <c r="B38" s="11" t="s">
        <v>100</v>
      </c>
      <c r="C38" s="12">
        <f>SUMIF('ALLA ÅR'!B:B,Tabell4[[#This Row],[Namn]],'ALLA ÅR'!C:C)</f>
        <v>46</v>
      </c>
      <c r="D38" s="12">
        <f>SUMIF('ALLA ÅR'!B:B,Tabell4[[#This Row],[Namn]],'ALLA ÅR'!E:E)</f>
        <v>5</v>
      </c>
      <c r="E38" s="12">
        <f>SUMIF('ALLA ÅR'!B:B,Tabell4[[#This Row],[Namn]],'ALLA ÅR'!F:F)</f>
        <v>0</v>
      </c>
      <c r="F38" s="12">
        <f>SUMIF('ALLA ÅR'!B:B,Tabell4[[#This Row],[Namn]],'ALLA ÅR'!G:G)</f>
        <v>3</v>
      </c>
      <c r="G38" s="12">
        <f>VLOOKUP(Tabell4[[#This Row],[Namn]],'ALLA ÅR'!B:J,9,0)</f>
        <v>2020</v>
      </c>
      <c r="H38" s="12">
        <f>COUNTIF('ALLA ÅR'!B:B,Tabell4[[#This Row],[Namn]])</f>
        <v>3</v>
      </c>
      <c r="I38" s="12">
        <f>VLOOKUP(Tabell4[[#This Row],[Namn]],'ALLA ÅR'!B:L,11,0)</f>
        <v>22</v>
      </c>
      <c r="J38" s="12">
        <f>RANK(Tabell4[[#This Row],[MÅL]],F:F)</f>
        <v>49</v>
      </c>
      <c r="K38" s="12">
        <f>RANK(Tabell4[[#This Row],[VAR]],D:D)</f>
        <v>4</v>
      </c>
      <c r="L38" s="12">
        <f>RANK(Tabell4[[#This Row],[MAT]],C:C)</f>
        <v>24</v>
      </c>
      <c r="M38" s="14">
        <f>Tabell4[[#This Row],[MAT]]/Tabell4[[#This Row],[ANTAL MATCHER]]</f>
        <v>0.85185185185185186</v>
      </c>
      <c r="N38" s="12">
        <f>SUMIF('ALLA ÅR'!B:B,Tabell4[[#This Row],[Namn]],'ALLA ÅR'!H:H)</f>
        <v>54</v>
      </c>
      <c r="O38" s="12">
        <f>(Tabell4[[#This Row],[UTV]]*2)+Tabell4[[#This Row],[VAR]]</f>
        <v>5</v>
      </c>
      <c r="P38" s="12">
        <f>COUNTIF('100%'!B:B,Tabell4[[#This Row],[Namn]])</f>
        <v>1</v>
      </c>
      <c r="Q38" s="12">
        <f>_xlfn.XLOOKUP(Tabell4[[#This Row],[Namn]],Blad3!A:A,Blad3!B:B)</f>
        <v>6</v>
      </c>
      <c r="R38" s="12">
        <f>_xlfn.XLOOKUP(Tabell4[[#This Row],[Namn]],Blad3!A:A,Blad3!C:C)</f>
        <v>40</v>
      </c>
      <c r="S38" s="12">
        <f>_xlfn.XLOOKUP(Tabell4[[#This Row],[Namn]],Blad3!A:A,Blad3!D:D)</f>
        <v>0</v>
      </c>
      <c r="T38" s="12">
        <f>_xlfn.XLOOKUP(Tabell4[[#This Row],[Namn]],Blad3!A:A,Blad3!E:E)</f>
        <v>0</v>
      </c>
      <c r="U38" s="12">
        <f>RANK(Tabell4[[#This Row],[SÄS]],Tabell4[SÄS])</f>
        <v>33</v>
      </c>
      <c r="V38" s="12">
        <f>_xlfn.XLOOKUP(Tabell4[[#This Row],[Namn]],Blad3!H:H,Blad3!I:I)</f>
        <v>0</v>
      </c>
      <c r="W38" s="12">
        <f>_xlfn.XLOOKUP(Tabell4[[#This Row],[Namn]],Blad3!H:H,Blad3!J:J)</f>
        <v>3</v>
      </c>
      <c r="X38" s="12">
        <f>_xlfn.XLOOKUP(Tabell4[[#This Row],[Namn]],Blad3!H:H,Blad3!K:K)</f>
        <v>0</v>
      </c>
      <c r="Y38" s="12">
        <f>_xlfn.XLOOKUP(Tabell4[[#This Row],[Namn]],Blad3!H:H,Blad3!L:L)</f>
        <v>0</v>
      </c>
    </row>
    <row r="39" spans="1:25" x14ac:dyDescent="0.25">
      <c r="A39" s="15">
        <f>Tabell4[[#This Row],[RANK MATCHER]]</f>
        <v>25</v>
      </c>
      <c r="B39" s="11" t="s">
        <v>167</v>
      </c>
      <c r="C39" s="12">
        <f>SUMIF('ALLA ÅR'!B:B,Tabell4[[#This Row],[Namn]],'ALLA ÅR'!C:C)</f>
        <v>45</v>
      </c>
      <c r="D39" s="12">
        <f>SUMIF('ALLA ÅR'!B:B,Tabell4[[#This Row],[Namn]],'ALLA ÅR'!E:E)</f>
        <v>2</v>
      </c>
      <c r="E39" s="12">
        <f>SUMIF('ALLA ÅR'!B:B,Tabell4[[#This Row],[Namn]],'ALLA ÅR'!F:F)</f>
        <v>0</v>
      </c>
      <c r="F39" s="12">
        <f>SUMIF('ALLA ÅR'!B:B,Tabell4[[#This Row],[Namn]],'ALLA ÅR'!G:G)</f>
        <v>2</v>
      </c>
      <c r="G39" s="12">
        <f>VLOOKUP(Tabell4[[#This Row],[Namn]],'ALLA ÅR'!B:J,9,0)</f>
        <v>2014</v>
      </c>
      <c r="H39" s="12">
        <f>COUNTIF('ALLA ÅR'!B:B,Tabell4[[#This Row],[Namn]])</f>
        <v>3</v>
      </c>
      <c r="I39" s="12">
        <f>VLOOKUP(Tabell4[[#This Row],[Namn]],'ALLA ÅR'!B:L,11,0)</f>
        <v>18</v>
      </c>
      <c r="J39" s="12">
        <f>RANK(Tabell4[[#This Row],[MÅL]],F:F)</f>
        <v>59</v>
      </c>
      <c r="K39" s="12">
        <f>RANK(Tabell4[[#This Row],[VAR]],D:D)</f>
        <v>19</v>
      </c>
      <c r="L39" s="12">
        <f>RANK(Tabell4[[#This Row],[MAT]],C:C)</f>
        <v>25</v>
      </c>
      <c r="M39" s="14">
        <f>Tabell4[[#This Row],[MAT]]/Tabell4[[#This Row],[ANTAL MATCHER]]</f>
        <v>0.9375</v>
      </c>
      <c r="N39" s="12">
        <f>SUMIF('ALLA ÅR'!B:B,Tabell4[[#This Row],[Namn]],'ALLA ÅR'!H:H)</f>
        <v>48</v>
      </c>
      <c r="O39" s="12">
        <f>(Tabell4[[#This Row],[UTV]]*2)+Tabell4[[#This Row],[VAR]]</f>
        <v>2</v>
      </c>
      <c r="P39" s="12">
        <f>COUNTIF('100%'!B:B,Tabell4[[#This Row],[Namn]])</f>
        <v>0</v>
      </c>
      <c r="Q39" s="12">
        <f>_xlfn.XLOOKUP(Tabell4[[#This Row],[Namn]],Blad3!A:A,Blad3!B:B)</f>
        <v>0</v>
      </c>
      <c r="R39" s="12">
        <f>_xlfn.XLOOKUP(Tabell4[[#This Row],[Namn]],Blad3!A:A,Blad3!C:C)</f>
        <v>0</v>
      </c>
      <c r="S39" s="12">
        <f>_xlfn.XLOOKUP(Tabell4[[#This Row],[Namn]],Blad3!A:A,Blad3!D:D)</f>
        <v>0</v>
      </c>
      <c r="T39" s="12">
        <f>_xlfn.XLOOKUP(Tabell4[[#This Row],[Namn]],Blad3!A:A,Blad3!E:E)</f>
        <v>45</v>
      </c>
      <c r="U39" s="12">
        <f>RANK(Tabell4[[#This Row],[SÄS]],Tabell4[SÄS])</f>
        <v>33</v>
      </c>
      <c r="V39" s="12">
        <f>_xlfn.XLOOKUP(Tabell4[[#This Row],[Namn]],Blad3!H:H,Blad3!I:I)</f>
        <v>0</v>
      </c>
      <c r="W39" s="12">
        <f>_xlfn.XLOOKUP(Tabell4[[#This Row],[Namn]],Blad3!H:H,Blad3!J:J)</f>
        <v>0</v>
      </c>
      <c r="X39" s="12">
        <f>_xlfn.XLOOKUP(Tabell4[[#This Row],[Namn]],Blad3!H:H,Blad3!K:K)</f>
        <v>0</v>
      </c>
      <c r="Y39" s="12">
        <f>_xlfn.XLOOKUP(Tabell4[[#This Row],[Namn]],Blad3!H:H,Blad3!L:L)</f>
        <v>2</v>
      </c>
    </row>
    <row r="40" spans="1:25" x14ac:dyDescent="0.25">
      <c r="A40" s="15">
        <f>Tabell4[[#This Row],[RANK MATCHER]]</f>
        <v>25</v>
      </c>
      <c r="B40" s="11" t="s">
        <v>184</v>
      </c>
      <c r="C40" s="12">
        <f>SUMIF('ALLA ÅR'!B:B,Tabell4[[#This Row],[Namn]],'ALLA ÅR'!C:C)</f>
        <v>45</v>
      </c>
      <c r="D40" s="12">
        <f>SUMIF('ALLA ÅR'!B:B,Tabell4[[#This Row],[Namn]],'ALLA ÅR'!E:E)</f>
        <v>0</v>
      </c>
      <c r="E40" s="12">
        <f>SUMIF('ALLA ÅR'!B:B,Tabell4[[#This Row],[Namn]],'ALLA ÅR'!F:F)</f>
        <v>0</v>
      </c>
      <c r="F40" s="12">
        <f>SUMIF('ALLA ÅR'!B:B,Tabell4[[#This Row],[Namn]],'ALLA ÅR'!G:G)</f>
        <v>10</v>
      </c>
      <c r="G40" s="12">
        <f>VLOOKUP(Tabell4[[#This Row],[Namn]],'ALLA ÅR'!B:J,9,0)</f>
        <v>2011</v>
      </c>
      <c r="H40" s="12">
        <f>COUNTIF('ALLA ÅR'!B:B,Tabell4[[#This Row],[Namn]])</f>
        <v>2</v>
      </c>
      <c r="I40" s="12">
        <f>VLOOKUP(Tabell4[[#This Row],[Namn]],'ALLA ÅR'!B:L,11,0)</f>
        <v>19</v>
      </c>
      <c r="J40" s="12">
        <f>RANK(Tabell4[[#This Row],[MÅL]],F:F)</f>
        <v>23</v>
      </c>
      <c r="K40" s="12">
        <f>RANK(Tabell4[[#This Row],[VAR]],D:D)</f>
        <v>54</v>
      </c>
      <c r="L40" s="12">
        <f>RANK(Tabell4[[#This Row],[MAT]],C:C)</f>
        <v>25</v>
      </c>
      <c r="M40" s="14">
        <f>Tabell4[[#This Row],[MAT]]/Tabell4[[#This Row],[ANTAL MATCHER]]</f>
        <v>0.97826086956521741</v>
      </c>
      <c r="N40" s="12">
        <f>SUMIF('ALLA ÅR'!B:B,Tabell4[[#This Row],[Namn]],'ALLA ÅR'!H:H)</f>
        <v>46</v>
      </c>
      <c r="O40" s="12">
        <f>(Tabell4[[#This Row],[UTV]]*2)+Tabell4[[#This Row],[VAR]]</f>
        <v>0</v>
      </c>
      <c r="P40" s="12">
        <f>COUNTIF('100%'!B:B,Tabell4[[#This Row],[Namn]])</f>
        <v>1</v>
      </c>
      <c r="Q40" s="12">
        <f>_xlfn.XLOOKUP(Tabell4[[#This Row],[Namn]],Blad3!A:A,Blad3!B:B)</f>
        <v>0</v>
      </c>
      <c r="R40" s="12">
        <f>_xlfn.XLOOKUP(Tabell4[[#This Row],[Namn]],Blad3!A:A,Blad3!C:C)</f>
        <v>0</v>
      </c>
      <c r="S40" s="12">
        <f>_xlfn.XLOOKUP(Tabell4[[#This Row],[Namn]],Blad3!A:A,Blad3!D:D)</f>
        <v>45</v>
      </c>
      <c r="T40" s="12">
        <f>_xlfn.XLOOKUP(Tabell4[[#This Row],[Namn]],Blad3!A:A,Blad3!E:E)</f>
        <v>0</v>
      </c>
      <c r="U40" s="12">
        <f>RANK(Tabell4[[#This Row],[SÄS]],Tabell4[SÄS])</f>
        <v>61</v>
      </c>
      <c r="V40" s="12">
        <f>_xlfn.XLOOKUP(Tabell4[[#This Row],[Namn]],Blad3!H:H,Blad3!I:I)</f>
        <v>0</v>
      </c>
      <c r="W40" s="12">
        <f>_xlfn.XLOOKUP(Tabell4[[#This Row],[Namn]],Blad3!H:H,Blad3!J:J)</f>
        <v>0</v>
      </c>
      <c r="X40" s="12">
        <f>_xlfn.XLOOKUP(Tabell4[[#This Row],[Namn]],Blad3!H:H,Blad3!K:K)</f>
        <v>10</v>
      </c>
      <c r="Y40" s="12">
        <f>_xlfn.XLOOKUP(Tabell4[[#This Row],[Namn]],Blad3!H:H,Blad3!L:L)</f>
        <v>0</v>
      </c>
    </row>
    <row r="41" spans="1:25" x14ac:dyDescent="0.25">
      <c r="A41" s="15">
        <f>Tabell4[[#This Row],[RANK MATCHER]]</f>
        <v>27</v>
      </c>
      <c r="B41" s="11" t="s">
        <v>137</v>
      </c>
      <c r="C41" s="12">
        <f>SUMIF('ALLA ÅR'!B:B,Tabell4[[#This Row],[Namn]],'ALLA ÅR'!C:C)</f>
        <v>44</v>
      </c>
      <c r="D41" s="12">
        <f>SUMIF('ALLA ÅR'!B:B,Tabell4[[#This Row],[Namn]],'ALLA ÅR'!E:E)</f>
        <v>0</v>
      </c>
      <c r="E41" s="12">
        <f>SUMIF('ALLA ÅR'!B:B,Tabell4[[#This Row],[Namn]],'ALLA ÅR'!F:F)</f>
        <v>0</v>
      </c>
      <c r="F41" s="12">
        <f>SUMIF('ALLA ÅR'!B:B,Tabell4[[#This Row],[Namn]],'ALLA ÅR'!G:G)</f>
        <v>4</v>
      </c>
      <c r="G41" s="12">
        <f>VLOOKUP(Tabell4[[#This Row],[Namn]],'ALLA ÅR'!B:J,9,0)</f>
        <v>2016</v>
      </c>
      <c r="H41" s="12">
        <f>COUNTIF('ALLA ÅR'!B:B,Tabell4[[#This Row],[Namn]])</f>
        <v>5</v>
      </c>
      <c r="I41" s="12">
        <f>VLOOKUP(Tabell4[[#This Row],[Namn]],'ALLA ÅR'!B:L,11,0)</f>
        <v>20</v>
      </c>
      <c r="J41" s="12">
        <f>RANK(Tabell4[[#This Row],[MÅL]],F:F)</f>
        <v>41</v>
      </c>
      <c r="K41" s="12">
        <f>RANK(Tabell4[[#This Row],[VAR]],D:D)</f>
        <v>54</v>
      </c>
      <c r="L41" s="12">
        <f>RANK(Tabell4[[#This Row],[MAT]],C:C)</f>
        <v>27</v>
      </c>
      <c r="M41" s="14">
        <f>Tabell4[[#This Row],[MAT]]/Tabell4[[#This Row],[ANTAL MATCHER]]</f>
        <v>0.50574712643678166</v>
      </c>
      <c r="N41" s="12">
        <f>SUMIF('ALLA ÅR'!B:B,Tabell4[[#This Row],[Namn]],'ALLA ÅR'!H:H)</f>
        <v>87</v>
      </c>
      <c r="O41" s="12">
        <f>(Tabell4[[#This Row],[UTV]]*2)+Tabell4[[#This Row],[VAR]]</f>
        <v>0</v>
      </c>
      <c r="P41" s="12">
        <f>COUNTIF('100%'!B:B,Tabell4[[#This Row],[Namn]])</f>
        <v>0</v>
      </c>
      <c r="Q41" s="12">
        <f>_xlfn.XLOOKUP(Tabell4[[#This Row],[Namn]],Blad3!A:A,Blad3!B:B)</f>
        <v>0</v>
      </c>
      <c r="R41" s="12">
        <f>_xlfn.XLOOKUP(Tabell4[[#This Row],[Namn]],Blad3!A:A,Blad3!C:C)</f>
        <v>0</v>
      </c>
      <c r="S41" s="12">
        <f>_xlfn.XLOOKUP(Tabell4[[#This Row],[Namn]],Blad3!A:A,Blad3!D:D)</f>
        <v>0</v>
      </c>
      <c r="T41" s="12">
        <f>_xlfn.XLOOKUP(Tabell4[[#This Row],[Namn]],Blad3!A:A,Blad3!E:E)</f>
        <v>44</v>
      </c>
      <c r="U41" s="12">
        <f>RANK(Tabell4[[#This Row],[SÄS]],Tabell4[SÄS])</f>
        <v>10</v>
      </c>
      <c r="V41" s="12">
        <f>_xlfn.XLOOKUP(Tabell4[[#This Row],[Namn]],Blad3!H:H,Blad3!I:I)</f>
        <v>0</v>
      </c>
      <c r="W41" s="12">
        <f>_xlfn.XLOOKUP(Tabell4[[#This Row],[Namn]],Blad3!H:H,Blad3!J:J)</f>
        <v>0</v>
      </c>
      <c r="X41" s="12">
        <f>_xlfn.XLOOKUP(Tabell4[[#This Row],[Namn]],Blad3!H:H,Blad3!K:K)</f>
        <v>0</v>
      </c>
      <c r="Y41" s="12">
        <f>_xlfn.XLOOKUP(Tabell4[[#This Row],[Namn]],Blad3!H:H,Blad3!L:L)</f>
        <v>4</v>
      </c>
    </row>
    <row r="42" spans="1:25" x14ac:dyDescent="0.25">
      <c r="A42" s="15">
        <f>Tabell4[[#This Row],[RANK MATCHER]]</f>
        <v>28</v>
      </c>
      <c r="B42" s="11" t="s">
        <v>29</v>
      </c>
      <c r="C42" s="12">
        <f>SUMIF('ALLA ÅR'!B:B,Tabell4[[#This Row],[Namn]],'ALLA ÅR'!C:C)</f>
        <v>43</v>
      </c>
      <c r="D42" s="12">
        <f>SUMIF('ALLA ÅR'!B:B,Tabell4[[#This Row],[Namn]],'ALLA ÅR'!E:E)</f>
        <v>1</v>
      </c>
      <c r="E42" s="12">
        <f>SUMIF('ALLA ÅR'!B:B,Tabell4[[#This Row],[Namn]],'ALLA ÅR'!F:F)</f>
        <v>0</v>
      </c>
      <c r="F42" s="12">
        <f>SUMIF('ALLA ÅR'!B:B,Tabell4[[#This Row],[Namn]],'ALLA ÅR'!G:G)</f>
        <v>14</v>
      </c>
      <c r="G42" s="12">
        <f>VLOOKUP(Tabell4[[#This Row],[Namn]],'ALLA ÅR'!B:J,9,0)</f>
        <v>2026</v>
      </c>
      <c r="H42" s="12">
        <f>COUNTIF('ALLA ÅR'!B:B,Tabell4[[#This Row],[Namn]])</f>
        <v>5</v>
      </c>
      <c r="I42" s="12">
        <f>VLOOKUP(Tabell4[[#This Row],[Namn]],'ALLA ÅR'!B:L,11,0)</f>
        <v>19</v>
      </c>
      <c r="J42" s="12">
        <f>RANK(Tabell4[[#This Row],[MÅL]],F:F)</f>
        <v>13</v>
      </c>
      <c r="K42" s="12">
        <f>RANK(Tabell4[[#This Row],[VAR]],D:D)</f>
        <v>27</v>
      </c>
      <c r="L42" s="12">
        <f>RANK(Tabell4[[#This Row],[MAT]],C:C)</f>
        <v>28</v>
      </c>
      <c r="M42" s="14">
        <f>Tabell4[[#This Row],[MAT]]/Tabell4[[#This Row],[ANTAL MATCHER]]</f>
        <v>0.48863636363636365</v>
      </c>
      <c r="N42" s="12">
        <f>SUMIF('ALLA ÅR'!B:B,Tabell4[[#This Row],[Namn]],'ALLA ÅR'!H:H)</f>
        <v>88</v>
      </c>
      <c r="O42" s="12">
        <f>(Tabell4[[#This Row],[UTV]]*2)+Tabell4[[#This Row],[VAR]]</f>
        <v>1</v>
      </c>
      <c r="P42" s="12">
        <f>COUNTIF('100%'!B:B,Tabell4[[#This Row],[Namn]])</f>
        <v>1</v>
      </c>
      <c r="Q42" s="12">
        <f>_xlfn.XLOOKUP(Tabell4[[#This Row],[Namn]],Blad3!A:A,Blad3!B:B)</f>
        <v>0</v>
      </c>
      <c r="R42" s="12">
        <f>_xlfn.XLOOKUP(Tabell4[[#This Row],[Namn]],Blad3!A:A,Blad3!C:C)</f>
        <v>39</v>
      </c>
      <c r="S42" s="12">
        <f>_xlfn.XLOOKUP(Tabell4[[#This Row],[Namn]],Blad3!A:A,Blad3!D:D)</f>
        <v>0</v>
      </c>
      <c r="T42" s="12">
        <f>_xlfn.XLOOKUP(Tabell4[[#This Row],[Namn]],Blad3!A:A,Blad3!E:E)</f>
        <v>4</v>
      </c>
      <c r="U42" s="12">
        <f>RANK(Tabell4[[#This Row],[SÄS]],Tabell4[SÄS])</f>
        <v>10</v>
      </c>
      <c r="V42" s="12">
        <f>_xlfn.XLOOKUP(Tabell4[[#This Row],[Namn]],Blad3!H:H,Blad3!I:I)</f>
        <v>0</v>
      </c>
      <c r="W42" s="12">
        <f>_xlfn.XLOOKUP(Tabell4[[#This Row],[Namn]],Blad3!H:H,Blad3!J:J)</f>
        <v>11</v>
      </c>
      <c r="X42" s="12">
        <f>_xlfn.XLOOKUP(Tabell4[[#This Row],[Namn]],Blad3!H:H,Blad3!K:K)</f>
        <v>0</v>
      </c>
      <c r="Y42" s="12">
        <f>_xlfn.XLOOKUP(Tabell4[[#This Row],[Namn]],Blad3!H:H,Blad3!L:L)</f>
        <v>3</v>
      </c>
    </row>
    <row r="43" spans="1:25" x14ac:dyDescent="0.25">
      <c r="A43" s="15">
        <f>Tabell4[[#This Row],[RANK MATCHER]]</f>
        <v>28</v>
      </c>
      <c r="B43" s="11" t="s">
        <v>111</v>
      </c>
      <c r="C43" s="12">
        <f>SUMIF('ALLA ÅR'!B:B,Tabell4[[#This Row],[Namn]],'ALLA ÅR'!C:C)</f>
        <v>43</v>
      </c>
      <c r="D43" s="12">
        <f>SUMIF('ALLA ÅR'!B:B,Tabell4[[#This Row],[Namn]],'ALLA ÅR'!E:E)</f>
        <v>0</v>
      </c>
      <c r="E43" s="12">
        <f>SUMIF('ALLA ÅR'!B:B,Tabell4[[#This Row],[Namn]],'ALLA ÅR'!F:F)</f>
        <v>0</v>
      </c>
      <c r="F43" s="12">
        <f>SUMIF('ALLA ÅR'!B:B,Tabell4[[#This Row],[Namn]],'ALLA ÅR'!G:G)</f>
        <v>4</v>
      </c>
      <c r="G43" s="12">
        <f>VLOOKUP(Tabell4[[#This Row],[Namn]],'ALLA ÅR'!B:J,9,0)</f>
        <v>2018</v>
      </c>
      <c r="H43" s="12">
        <f>COUNTIF('ALLA ÅR'!B:B,Tabell4[[#This Row],[Namn]])</f>
        <v>3</v>
      </c>
      <c r="I43" s="12">
        <f>VLOOKUP(Tabell4[[#This Row],[Namn]],'ALLA ÅR'!B:L,11,0)</f>
        <v>23</v>
      </c>
      <c r="J43" s="12">
        <f>RANK(Tabell4[[#This Row],[MÅL]],F:F)</f>
        <v>41</v>
      </c>
      <c r="K43" s="12">
        <f>RANK(Tabell4[[#This Row],[VAR]],D:D)</f>
        <v>54</v>
      </c>
      <c r="L43" s="12">
        <f>RANK(Tabell4[[#This Row],[MAT]],C:C)</f>
        <v>28</v>
      </c>
      <c r="M43" s="14">
        <f>Tabell4[[#This Row],[MAT]]/Tabell4[[#This Row],[ANTAL MATCHER]]</f>
        <v>0.86</v>
      </c>
      <c r="N43" s="12">
        <f>SUMIF('ALLA ÅR'!B:B,Tabell4[[#This Row],[Namn]],'ALLA ÅR'!H:H)</f>
        <v>50</v>
      </c>
      <c r="O43" s="12">
        <f>(Tabell4[[#This Row],[UTV]]*2)+Tabell4[[#This Row],[VAR]]</f>
        <v>0</v>
      </c>
      <c r="P43" s="12">
        <f>COUNTIF('100%'!B:B,Tabell4[[#This Row],[Namn]])</f>
        <v>0</v>
      </c>
      <c r="Q43" s="12">
        <f>_xlfn.XLOOKUP(Tabell4[[#This Row],[Namn]],Blad3!A:A,Blad3!B:B)</f>
        <v>0</v>
      </c>
      <c r="R43" s="12">
        <f>_xlfn.XLOOKUP(Tabell4[[#This Row],[Namn]],Blad3!A:A,Blad3!C:C)</f>
        <v>17</v>
      </c>
      <c r="S43" s="12">
        <f>_xlfn.XLOOKUP(Tabell4[[#This Row],[Namn]],Blad3!A:A,Blad3!D:D)</f>
        <v>13</v>
      </c>
      <c r="T43" s="12">
        <f>_xlfn.XLOOKUP(Tabell4[[#This Row],[Namn]],Blad3!A:A,Blad3!E:E)</f>
        <v>13</v>
      </c>
      <c r="U43" s="12">
        <f>RANK(Tabell4[[#This Row],[SÄS]],Tabell4[SÄS])</f>
        <v>33</v>
      </c>
      <c r="V43" s="12">
        <f>_xlfn.XLOOKUP(Tabell4[[#This Row],[Namn]],Blad3!H:H,Blad3!I:I)</f>
        <v>0</v>
      </c>
      <c r="W43" s="12">
        <f>_xlfn.XLOOKUP(Tabell4[[#This Row],[Namn]],Blad3!H:H,Blad3!J:J)</f>
        <v>1</v>
      </c>
      <c r="X43" s="12">
        <f>_xlfn.XLOOKUP(Tabell4[[#This Row],[Namn]],Blad3!H:H,Blad3!K:K)</f>
        <v>1</v>
      </c>
      <c r="Y43" s="12">
        <f>_xlfn.XLOOKUP(Tabell4[[#This Row],[Namn]],Blad3!H:H,Blad3!L:L)</f>
        <v>2</v>
      </c>
    </row>
    <row r="44" spans="1:25" x14ac:dyDescent="0.25">
      <c r="A44" s="15">
        <f>Tabell4[[#This Row],[RANK MATCHER]]</f>
        <v>28</v>
      </c>
      <c r="B44" s="11" t="s">
        <v>183</v>
      </c>
      <c r="C44" s="12">
        <f>SUMIF('ALLA ÅR'!B:B,Tabell4[[#This Row],[Namn]],'ALLA ÅR'!C:C)</f>
        <v>43</v>
      </c>
      <c r="D44" s="12">
        <f>SUMIF('ALLA ÅR'!B:B,Tabell4[[#This Row],[Namn]],'ALLA ÅR'!E:E)</f>
        <v>1</v>
      </c>
      <c r="E44" s="12">
        <f>SUMIF('ALLA ÅR'!B:B,Tabell4[[#This Row],[Namn]],'ALLA ÅR'!F:F)</f>
        <v>0</v>
      </c>
      <c r="F44" s="12">
        <f>SUMIF('ALLA ÅR'!B:B,Tabell4[[#This Row],[Namn]],'ALLA ÅR'!G:G)</f>
        <v>3</v>
      </c>
      <c r="G44" s="12">
        <f>VLOOKUP(Tabell4[[#This Row],[Namn]],'ALLA ÅR'!B:J,9,0)</f>
        <v>2011</v>
      </c>
      <c r="H44" s="12">
        <f>COUNTIF('ALLA ÅR'!B:B,Tabell4[[#This Row],[Namn]])</f>
        <v>2</v>
      </c>
      <c r="I44" s="12">
        <f>VLOOKUP(Tabell4[[#This Row],[Namn]],'ALLA ÅR'!B:L,11,0)</f>
        <v>20</v>
      </c>
      <c r="J44" s="12">
        <f>RANK(Tabell4[[#This Row],[MÅL]],F:F)</f>
        <v>49</v>
      </c>
      <c r="K44" s="12">
        <f>RANK(Tabell4[[#This Row],[VAR]],D:D)</f>
        <v>27</v>
      </c>
      <c r="L44" s="12">
        <f>RANK(Tabell4[[#This Row],[MAT]],C:C)</f>
        <v>28</v>
      </c>
      <c r="M44" s="14">
        <f>Tabell4[[#This Row],[MAT]]/Tabell4[[#This Row],[ANTAL MATCHER]]</f>
        <v>0.93478260869565222</v>
      </c>
      <c r="N44" s="12">
        <f>SUMIF('ALLA ÅR'!B:B,Tabell4[[#This Row],[Namn]],'ALLA ÅR'!H:H)</f>
        <v>46</v>
      </c>
      <c r="O44" s="12">
        <f>(Tabell4[[#This Row],[UTV]]*2)+Tabell4[[#This Row],[VAR]]</f>
        <v>1</v>
      </c>
      <c r="P44" s="12">
        <f>COUNTIF('100%'!B:B,Tabell4[[#This Row],[Namn]])</f>
        <v>1</v>
      </c>
      <c r="Q44" s="12">
        <f>_xlfn.XLOOKUP(Tabell4[[#This Row],[Namn]],Blad3!A:A,Blad3!B:B)</f>
        <v>0</v>
      </c>
      <c r="R44" s="12">
        <f>_xlfn.XLOOKUP(Tabell4[[#This Row],[Namn]],Blad3!A:A,Blad3!C:C)</f>
        <v>0</v>
      </c>
      <c r="S44" s="12">
        <f>_xlfn.XLOOKUP(Tabell4[[#This Row],[Namn]],Blad3!A:A,Blad3!D:D)</f>
        <v>43</v>
      </c>
      <c r="T44" s="12">
        <f>_xlfn.XLOOKUP(Tabell4[[#This Row],[Namn]],Blad3!A:A,Blad3!E:E)</f>
        <v>0</v>
      </c>
      <c r="U44" s="12">
        <f>RANK(Tabell4[[#This Row],[SÄS]],Tabell4[SÄS])</f>
        <v>61</v>
      </c>
      <c r="V44" s="12">
        <f>_xlfn.XLOOKUP(Tabell4[[#This Row],[Namn]],Blad3!H:H,Blad3!I:I)</f>
        <v>0</v>
      </c>
      <c r="W44" s="12">
        <f>_xlfn.XLOOKUP(Tabell4[[#This Row],[Namn]],Blad3!H:H,Blad3!J:J)</f>
        <v>0</v>
      </c>
      <c r="X44" s="12">
        <f>_xlfn.XLOOKUP(Tabell4[[#This Row],[Namn]],Blad3!H:H,Blad3!K:K)</f>
        <v>3</v>
      </c>
      <c r="Y44" s="12">
        <f>_xlfn.XLOOKUP(Tabell4[[#This Row],[Namn]],Blad3!H:H,Blad3!L:L)</f>
        <v>0</v>
      </c>
    </row>
    <row r="45" spans="1:25" x14ac:dyDescent="0.25">
      <c r="A45" s="15">
        <f>Tabell4[[#This Row],[RANK MATCHER]]</f>
        <v>31</v>
      </c>
      <c r="B45" s="11" t="s">
        <v>28</v>
      </c>
      <c r="C45" s="12">
        <f>SUMIF('ALLA ÅR'!B:B,Tabell4[[#This Row],[Namn]],'ALLA ÅR'!C:C)</f>
        <v>41</v>
      </c>
      <c r="D45" s="12">
        <f>SUMIF('ALLA ÅR'!B:B,Tabell4[[#This Row],[Namn]],'ALLA ÅR'!E:E)</f>
        <v>0</v>
      </c>
      <c r="E45" s="12">
        <f>SUMIF('ALLA ÅR'!B:B,Tabell4[[#This Row],[Namn]],'ALLA ÅR'!F:F)</f>
        <v>0</v>
      </c>
      <c r="F45" s="12">
        <f>SUMIF('ALLA ÅR'!B:B,Tabell4[[#This Row],[Namn]],'ALLA ÅR'!G:G)</f>
        <v>5</v>
      </c>
      <c r="G45" s="12">
        <f>VLOOKUP(Tabell4[[#This Row],[Namn]],'ALLA ÅR'!B:J,9,0)</f>
        <v>2026</v>
      </c>
      <c r="H45" s="12">
        <f>COUNTIF('ALLA ÅR'!B:B,Tabell4[[#This Row],[Namn]])</f>
        <v>4</v>
      </c>
      <c r="I45" s="12">
        <f>VLOOKUP(Tabell4[[#This Row],[Namn]],'ALLA ÅR'!B:L,11,0)</f>
        <v>19</v>
      </c>
      <c r="J45" s="12">
        <f>RANK(Tabell4[[#This Row],[MÅL]],F:F)</f>
        <v>37</v>
      </c>
      <c r="K45" s="12">
        <f>RANK(Tabell4[[#This Row],[VAR]],D:D)</f>
        <v>54</v>
      </c>
      <c r="L45" s="12">
        <f>RANK(Tabell4[[#This Row],[MAT]],C:C)</f>
        <v>31</v>
      </c>
      <c r="M45" s="14">
        <f>Tabell4[[#This Row],[MAT]]/Tabell4[[#This Row],[ANTAL MATCHER]]</f>
        <v>0.69491525423728817</v>
      </c>
      <c r="N45" s="12">
        <f>SUMIF('ALLA ÅR'!B:B,Tabell4[[#This Row],[Namn]],'ALLA ÅR'!H:H)</f>
        <v>59</v>
      </c>
      <c r="O45" s="12">
        <f>(Tabell4[[#This Row],[UTV]]*2)+Tabell4[[#This Row],[VAR]]</f>
        <v>0</v>
      </c>
      <c r="P45" s="12">
        <f>COUNTIF('100%'!B:B,Tabell4[[#This Row],[Namn]])</f>
        <v>0</v>
      </c>
      <c r="Q45" s="12">
        <f>_xlfn.XLOOKUP(Tabell4[[#This Row],[Namn]],Blad3!A:A,Blad3!B:B)</f>
        <v>0</v>
      </c>
      <c r="R45" s="12">
        <f>_xlfn.XLOOKUP(Tabell4[[#This Row],[Namn]],Blad3!A:A,Blad3!C:C)</f>
        <v>37</v>
      </c>
      <c r="S45" s="12">
        <f>_xlfn.XLOOKUP(Tabell4[[#This Row],[Namn]],Blad3!A:A,Blad3!D:D)</f>
        <v>0</v>
      </c>
      <c r="T45" s="12">
        <f>_xlfn.XLOOKUP(Tabell4[[#This Row],[Namn]],Blad3!A:A,Blad3!E:E)</f>
        <v>4</v>
      </c>
      <c r="U45" s="12">
        <f>RANK(Tabell4[[#This Row],[SÄS]],Tabell4[SÄS])</f>
        <v>26</v>
      </c>
      <c r="V45" s="12">
        <f>_xlfn.XLOOKUP(Tabell4[[#This Row],[Namn]],Blad3!H:H,Blad3!I:I)</f>
        <v>0</v>
      </c>
      <c r="W45" s="12">
        <f>_xlfn.XLOOKUP(Tabell4[[#This Row],[Namn]],Blad3!H:H,Blad3!J:J)</f>
        <v>5</v>
      </c>
      <c r="X45" s="12">
        <f>_xlfn.XLOOKUP(Tabell4[[#This Row],[Namn]],Blad3!H:H,Blad3!K:K)</f>
        <v>0</v>
      </c>
      <c r="Y45" s="12">
        <f>_xlfn.XLOOKUP(Tabell4[[#This Row],[Namn]],Blad3!H:H,Blad3!L:L)</f>
        <v>0</v>
      </c>
    </row>
    <row r="46" spans="1:25" x14ac:dyDescent="0.25">
      <c r="A46" s="15">
        <f>Tabell4[[#This Row],[RANK MATCHER]]</f>
        <v>31</v>
      </c>
      <c r="B46" s="11" t="s">
        <v>185</v>
      </c>
      <c r="C46" s="12">
        <f>SUMIF('ALLA ÅR'!B:B,Tabell4[[#This Row],[Namn]],'ALLA ÅR'!C:C)</f>
        <v>41</v>
      </c>
      <c r="D46" s="12">
        <f>SUMIF('ALLA ÅR'!B:B,Tabell4[[#This Row],[Namn]],'ALLA ÅR'!E:E)</f>
        <v>3</v>
      </c>
      <c r="E46" s="12">
        <f>SUMIF('ALLA ÅR'!B:B,Tabell4[[#This Row],[Namn]],'ALLA ÅR'!F:F)</f>
        <v>0</v>
      </c>
      <c r="F46" s="12">
        <f>SUMIF('ALLA ÅR'!B:B,Tabell4[[#This Row],[Namn]],'ALLA ÅR'!G:G)</f>
        <v>2</v>
      </c>
      <c r="G46" s="12">
        <f>VLOOKUP(Tabell4[[#This Row],[Namn]],'ALLA ÅR'!B:J,9,0)</f>
        <v>2011</v>
      </c>
      <c r="H46" s="12">
        <f>COUNTIF('ALLA ÅR'!B:B,Tabell4[[#This Row],[Namn]])</f>
        <v>2</v>
      </c>
      <c r="I46" s="12">
        <f>VLOOKUP(Tabell4[[#This Row],[Namn]],'ALLA ÅR'!B:L,11,0)</f>
        <v>21</v>
      </c>
      <c r="J46" s="12">
        <f>RANK(Tabell4[[#This Row],[MÅL]],F:F)</f>
        <v>59</v>
      </c>
      <c r="K46" s="12">
        <f>RANK(Tabell4[[#This Row],[VAR]],D:D)</f>
        <v>10</v>
      </c>
      <c r="L46" s="12">
        <f>RANK(Tabell4[[#This Row],[MAT]],C:C)</f>
        <v>31</v>
      </c>
      <c r="M46" s="14">
        <f>Tabell4[[#This Row],[MAT]]/Tabell4[[#This Row],[ANTAL MATCHER]]</f>
        <v>0.89130434782608692</v>
      </c>
      <c r="N46" s="12">
        <f>SUMIF('ALLA ÅR'!B:B,Tabell4[[#This Row],[Namn]],'ALLA ÅR'!H:H)</f>
        <v>46</v>
      </c>
      <c r="O46" s="12">
        <f>(Tabell4[[#This Row],[UTV]]*2)+Tabell4[[#This Row],[VAR]]</f>
        <v>3</v>
      </c>
      <c r="P46" s="12">
        <f>COUNTIF('100%'!B:B,Tabell4[[#This Row],[Namn]])</f>
        <v>1</v>
      </c>
      <c r="Q46" s="12">
        <f>_xlfn.XLOOKUP(Tabell4[[#This Row],[Namn]],Blad3!A:A,Blad3!B:B)</f>
        <v>0</v>
      </c>
      <c r="R46" s="12">
        <f>_xlfn.XLOOKUP(Tabell4[[#This Row],[Namn]],Blad3!A:A,Blad3!C:C)</f>
        <v>0</v>
      </c>
      <c r="S46" s="12">
        <f>_xlfn.XLOOKUP(Tabell4[[#This Row],[Namn]],Blad3!A:A,Blad3!D:D)</f>
        <v>41</v>
      </c>
      <c r="T46" s="12">
        <f>_xlfn.XLOOKUP(Tabell4[[#This Row],[Namn]],Blad3!A:A,Blad3!E:E)</f>
        <v>0</v>
      </c>
      <c r="U46" s="12">
        <f>RANK(Tabell4[[#This Row],[SÄS]],Tabell4[SÄS])</f>
        <v>61</v>
      </c>
      <c r="V46" s="12">
        <f>_xlfn.XLOOKUP(Tabell4[[#This Row],[Namn]],Blad3!H:H,Blad3!I:I)</f>
        <v>0</v>
      </c>
      <c r="W46" s="12">
        <f>_xlfn.XLOOKUP(Tabell4[[#This Row],[Namn]],Blad3!H:H,Blad3!J:J)</f>
        <v>0</v>
      </c>
      <c r="X46" s="12">
        <f>_xlfn.XLOOKUP(Tabell4[[#This Row],[Namn]],Blad3!H:H,Blad3!K:K)</f>
        <v>2</v>
      </c>
      <c r="Y46" s="12">
        <f>_xlfn.XLOOKUP(Tabell4[[#This Row],[Namn]],Blad3!H:H,Blad3!L:L)</f>
        <v>0</v>
      </c>
    </row>
    <row r="47" spans="1:25" x14ac:dyDescent="0.25">
      <c r="A47" s="15">
        <f>Tabell4[[#This Row],[RANK MATCHER]]</f>
        <v>33</v>
      </c>
      <c r="B47" s="11" t="s">
        <v>109</v>
      </c>
      <c r="C47" s="12">
        <f>SUMIF('ALLA ÅR'!B:B,Tabell4[[#This Row],[Namn]],'ALLA ÅR'!C:C)</f>
        <v>39</v>
      </c>
      <c r="D47" s="12">
        <f>SUMIF('ALLA ÅR'!B:B,Tabell4[[#This Row],[Namn]],'ALLA ÅR'!E:E)</f>
        <v>1</v>
      </c>
      <c r="E47" s="12">
        <f>SUMIF('ALLA ÅR'!B:B,Tabell4[[#This Row],[Namn]],'ALLA ÅR'!F:F)</f>
        <v>0</v>
      </c>
      <c r="F47" s="12">
        <f>SUMIF('ALLA ÅR'!B:B,Tabell4[[#This Row],[Namn]],'ALLA ÅR'!G:G)</f>
        <v>1</v>
      </c>
      <c r="G47" s="12">
        <f>VLOOKUP(Tabell4[[#This Row],[Namn]],'ALLA ÅR'!B:J,9,0)</f>
        <v>2019</v>
      </c>
      <c r="H47" s="12">
        <f>COUNTIF('ALLA ÅR'!B:B,Tabell4[[#This Row],[Namn]])</f>
        <v>4</v>
      </c>
      <c r="I47" s="12">
        <f>VLOOKUP(Tabell4[[#This Row],[Namn]],'ALLA ÅR'!B:L,11,0)</f>
        <v>30</v>
      </c>
      <c r="J47" s="12">
        <f>RANK(Tabell4[[#This Row],[MÅL]],F:F)</f>
        <v>67</v>
      </c>
      <c r="K47" s="12">
        <f>RANK(Tabell4[[#This Row],[VAR]],D:D)</f>
        <v>27</v>
      </c>
      <c r="L47" s="12">
        <f>RANK(Tabell4[[#This Row],[MAT]],C:C)</f>
        <v>33</v>
      </c>
      <c r="M47" s="14">
        <f>Tabell4[[#This Row],[MAT]]/Tabell4[[#This Row],[ANTAL MATCHER]]</f>
        <v>0.43333333333333335</v>
      </c>
      <c r="N47" s="12">
        <f>SUMIF('ALLA ÅR'!B:B,Tabell4[[#This Row],[Namn]],'ALLA ÅR'!H:H)</f>
        <v>90</v>
      </c>
      <c r="O47" s="12">
        <f>(Tabell4[[#This Row],[UTV]]*2)+Tabell4[[#This Row],[VAR]]</f>
        <v>1</v>
      </c>
      <c r="P47" s="12">
        <f>COUNTIF('100%'!B:B,Tabell4[[#This Row],[Namn]])</f>
        <v>0</v>
      </c>
      <c r="Q47" s="12">
        <f>_xlfn.XLOOKUP(Tabell4[[#This Row],[Namn]],Blad3!A:A,Blad3!B:B)</f>
        <v>0</v>
      </c>
      <c r="R47" s="12">
        <f>_xlfn.XLOOKUP(Tabell4[[#This Row],[Namn]],Blad3!A:A,Blad3!C:C)</f>
        <v>19</v>
      </c>
      <c r="S47" s="12">
        <f>_xlfn.XLOOKUP(Tabell4[[#This Row],[Namn]],Blad3!A:A,Blad3!D:D)</f>
        <v>20</v>
      </c>
      <c r="T47" s="12">
        <f>_xlfn.XLOOKUP(Tabell4[[#This Row],[Namn]],Blad3!A:A,Blad3!E:E)</f>
        <v>0</v>
      </c>
      <c r="U47" s="12">
        <f>RANK(Tabell4[[#This Row],[SÄS]],Tabell4[SÄS])</f>
        <v>26</v>
      </c>
      <c r="V47" s="12">
        <f>_xlfn.XLOOKUP(Tabell4[[#This Row],[Namn]],Blad3!H:H,Blad3!I:I)</f>
        <v>0</v>
      </c>
      <c r="W47" s="12">
        <f>_xlfn.XLOOKUP(Tabell4[[#This Row],[Namn]],Blad3!H:H,Blad3!J:J)</f>
        <v>0</v>
      </c>
      <c r="X47" s="12">
        <f>_xlfn.XLOOKUP(Tabell4[[#This Row],[Namn]],Blad3!H:H,Blad3!K:K)</f>
        <v>1</v>
      </c>
      <c r="Y47" s="12">
        <f>_xlfn.XLOOKUP(Tabell4[[#This Row],[Namn]],Blad3!H:H,Blad3!L:L)</f>
        <v>0</v>
      </c>
    </row>
    <row r="48" spans="1:25" x14ac:dyDescent="0.25">
      <c r="A48" s="15">
        <f>Tabell4[[#This Row],[RANK MATCHER]]</f>
        <v>33</v>
      </c>
      <c r="B48" s="11" t="s">
        <v>153</v>
      </c>
      <c r="C48" s="12">
        <f>SUMIF('ALLA ÅR'!B:B,Tabell4[[#This Row],[Namn]],'ALLA ÅR'!C:C)</f>
        <v>39</v>
      </c>
      <c r="D48" s="12">
        <f>SUMIF('ALLA ÅR'!B:B,Tabell4[[#This Row],[Namn]],'ALLA ÅR'!E:E)</f>
        <v>3</v>
      </c>
      <c r="E48" s="12">
        <f>SUMIF('ALLA ÅR'!B:B,Tabell4[[#This Row],[Namn]],'ALLA ÅR'!F:F)</f>
        <v>0</v>
      </c>
      <c r="F48" s="12">
        <f>SUMIF('ALLA ÅR'!B:B,Tabell4[[#This Row],[Namn]],'ALLA ÅR'!G:G)</f>
        <v>11</v>
      </c>
      <c r="G48" s="12">
        <f>VLOOKUP(Tabell4[[#This Row],[Namn]],'ALLA ÅR'!B:J,9,0)</f>
        <v>2015</v>
      </c>
      <c r="H48" s="12">
        <f>COUNTIF('ALLA ÅR'!B:B,Tabell4[[#This Row],[Namn]])</f>
        <v>5</v>
      </c>
      <c r="I48" s="12">
        <f>VLOOKUP(Tabell4[[#This Row],[Namn]],'ALLA ÅR'!B:L,11,0)</f>
        <v>23</v>
      </c>
      <c r="J48" s="12">
        <f>RANK(Tabell4[[#This Row],[MÅL]],F:F)</f>
        <v>20</v>
      </c>
      <c r="K48" s="12">
        <f>RANK(Tabell4[[#This Row],[VAR]],D:D)</f>
        <v>10</v>
      </c>
      <c r="L48" s="12">
        <f>RANK(Tabell4[[#This Row],[MAT]],C:C)</f>
        <v>33</v>
      </c>
      <c r="M48" s="14">
        <f>Tabell4[[#This Row],[MAT]]/Tabell4[[#This Row],[ANTAL MATCHER]]</f>
        <v>0.41052631578947368</v>
      </c>
      <c r="N48" s="12">
        <f>SUMIF('ALLA ÅR'!B:B,Tabell4[[#This Row],[Namn]],'ALLA ÅR'!H:H)</f>
        <v>95</v>
      </c>
      <c r="O48" s="12">
        <f>(Tabell4[[#This Row],[UTV]]*2)+Tabell4[[#This Row],[VAR]]</f>
        <v>3</v>
      </c>
      <c r="P48" s="12">
        <f>COUNTIF('100%'!B:B,Tabell4[[#This Row],[Namn]])</f>
        <v>0</v>
      </c>
      <c r="Q48" s="12">
        <f>_xlfn.XLOOKUP(Tabell4[[#This Row],[Namn]],Blad3!A:A,Blad3!B:B)</f>
        <v>0</v>
      </c>
      <c r="R48" s="12">
        <f>_xlfn.XLOOKUP(Tabell4[[#This Row],[Namn]],Blad3!A:A,Blad3!C:C)</f>
        <v>0</v>
      </c>
      <c r="S48" s="12">
        <f>_xlfn.XLOOKUP(Tabell4[[#This Row],[Namn]],Blad3!A:A,Blad3!D:D)</f>
        <v>3</v>
      </c>
      <c r="T48" s="12">
        <f>_xlfn.XLOOKUP(Tabell4[[#This Row],[Namn]],Blad3!A:A,Blad3!E:E)</f>
        <v>36</v>
      </c>
      <c r="U48" s="12">
        <f>RANK(Tabell4[[#This Row],[SÄS]],Tabell4[SÄS])</f>
        <v>10</v>
      </c>
      <c r="V48" s="12">
        <f>_xlfn.XLOOKUP(Tabell4[[#This Row],[Namn]],Blad3!H:H,Blad3!I:I)</f>
        <v>0</v>
      </c>
      <c r="W48" s="12">
        <f>_xlfn.XLOOKUP(Tabell4[[#This Row],[Namn]],Blad3!H:H,Blad3!J:J)</f>
        <v>0</v>
      </c>
      <c r="X48" s="12">
        <f>_xlfn.XLOOKUP(Tabell4[[#This Row],[Namn]],Blad3!H:H,Blad3!K:K)</f>
        <v>1</v>
      </c>
      <c r="Y48" s="12">
        <f>_xlfn.XLOOKUP(Tabell4[[#This Row],[Namn]],Blad3!H:H,Blad3!L:L)</f>
        <v>10</v>
      </c>
    </row>
    <row r="49" spans="1:25" x14ac:dyDescent="0.25">
      <c r="A49" s="15">
        <f>Tabell4[[#This Row],[RANK MATCHER]]</f>
        <v>35</v>
      </c>
      <c r="B49" s="11" t="s">
        <v>190</v>
      </c>
      <c r="C49" s="12">
        <f>SUMIF('ALLA ÅR'!B:B,Tabell4[[#This Row],[Namn]],'ALLA ÅR'!C:C)</f>
        <v>38</v>
      </c>
      <c r="D49" s="12">
        <f>SUMIF('ALLA ÅR'!B:B,Tabell4[[#This Row],[Namn]],'ALLA ÅR'!E:E)</f>
        <v>1</v>
      </c>
      <c r="E49" s="12">
        <f>SUMIF('ALLA ÅR'!B:B,Tabell4[[#This Row],[Namn]],'ALLA ÅR'!F:F)</f>
        <v>0</v>
      </c>
      <c r="F49" s="12">
        <f>SUMIF('ALLA ÅR'!B:B,Tabell4[[#This Row],[Namn]],'ALLA ÅR'!G:G)</f>
        <v>23</v>
      </c>
      <c r="G49" s="12">
        <f>VLOOKUP(Tabell4[[#This Row],[Namn]],'ALLA ÅR'!B:J,9,0)</f>
        <v>2011</v>
      </c>
      <c r="H49" s="12">
        <f>COUNTIF('ALLA ÅR'!B:B,Tabell4[[#This Row],[Namn]])</f>
        <v>2</v>
      </c>
      <c r="I49" s="12">
        <f>VLOOKUP(Tabell4[[#This Row],[Namn]],'ALLA ÅR'!B:L,11,0)</f>
        <v>19</v>
      </c>
      <c r="J49" s="12">
        <f>RANK(Tabell4[[#This Row],[MÅL]],F:F)</f>
        <v>11</v>
      </c>
      <c r="K49" s="12">
        <f>RANK(Tabell4[[#This Row],[VAR]],D:D)</f>
        <v>27</v>
      </c>
      <c r="L49" s="12">
        <f>RANK(Tabell4[[#This Row],[MAT]],C:C)</f>
        <v>35</v>
      </c>
      <c r="M49" s="14">
        <f>Tabell4[[#This Row],[MAT]]/Tabell4[[#This Row],[ANTAL MATCHER]]</f>
        <v>0.82608695652173914</v>
      </c>
      <c r="N49" s="12">
        <f>SUMIF('ALLA ÅR'!B:B,Tabell4[[#This Row],[Namn]],'ALLA ÅR'!H:H)</f>
        <v>46</v>
      </c>
      <c r="O49" s="12">
        <f>(Tabell4[[#This Row],[UTV]]*2)+Tabell4[[#This Row],[VAR]]</f>
        <v>1</v>
      </c>
      <c r="P49" s="12">
        <f>COUNTIF('100%'!B:B,Tabell4[[#This Row],[Namn]])</f>
        <v>0</v>
      </c>
      <c r="Q49" s="12">
        <f>_xlfn.XLOOKUP(Tabell4[[#This Row],[Namn]],Blad3!A:A,Blad3!B:B)</f>
        <v>0</v>
      </c>
      <c r="R49" s="12">
        <f>_xlfn.XLOOKUP(Tabell4[[#This Row],[Namn]],Blad3!A:A,Blad3!C:C)</f>
        <v>0</v>
      </c>
      <c r="S49" s="12">
        <f>_xlfn.XLOOKUP(Tabell4[[#This Row],[Namn]],Blad3!A:A,Blad3!D:D)</f>
        <v>38</v>
      </c>
      <c r="T49" s="12">
        <f>_xlfn.XLOOKUP(Tabell4[[#This Row],[Namn]],Blad3!A:A,Blad3!E:E)</f>
        <v>0</v>
      </c>
      <c r="U49" s="12">
        <f>RANK(Tabell4[[#This Row],[SÄS]],Tabell4[SÄS])</f>
        <v>61</v>
      </c>
      <c r="V49" s="12">
        <f>_xlfn.XLOOKUP(Tabell4[[#This Row],[Namn]],Blad3!H:H,Blad3!I:I)</f>
        <v>0</v>
      </c>
      <c r="W49" s="12">
        <f>_xlfn.XLOOKUP(Tabell4[[#This Row],[Namn]],Blad3!H:H,Blad3!J:J)</f>
        <v>0</v>
      </c>
      <c r="X49" s="12">
        <f>_xlfn.XLOOKUP(Tabell4[[#This Row],[Namn]],Blad3!H:H,Blad3!K:K)</f>
        <v>23</v>
      </c>
      <c r="Y49" s="12">
        <f>_xlfn.XLOOKUP(Tabell4[[#This Row],[Namn]],Blad3!H:H,Blad3!L:L)</f>
        <v>0</v>
      </c>
    </row>
    <row r="50" spans="1:25" x14ac:dyDescent="0.25">
      <c r="A50" s="15">
        <f>Tabell4[[#This Row],[RANK MATCHER]]</f>
        <v>36</v>
      </c>
      <c r="B50" s="11" t="s">
        <v>139</v>
      </c>
      <c r="C50" s="12">
        <f>SUMIF('ALLA ÅR'!B:B,Tabell4[[#This Row],[Namn]],'ALLA ÅR'!C:C)</f>
        <v>37</v>
      </c>
      <c r="D50" s="12">
        <f>SUMIF('ALLA ÅR'!B:B,Tabell4[[#This Row],[Namn]],'ALLA ÅR'!E:E)</f>
        <v>0</v>
      </c>
      <c r="E50" s="12">
        <f>SUMIF('ALLA ÅR'!B:B,Tabell4[[#This Row],[Namn]],'ALLA ÅR'!F:F)</f>
        <v>0</v>
      </c>
      <c r="F50" s="12">
        <f>SUMIF('ALLA ÅR'!B:B,Tabell4[[#This Row],[Namn]],'ALLA ÅR'!G:G)</f>
        <v>14</v>
      </c>
      <c r="G50" s="12">
        <f>VLOOKUP(Tabell4[[#This Row],[Namn]],'ALLA ÅR'!B:J,9,0)</f>
        <v>2016</v>
      </c>
      <c r="H50" s="12">
        <f>COUNTIF('ALLA ÅR'!B:B,Tabell4[[#This Row],[Namn]])</f>
        <v>3</v>
      </c>
      <c r="I50" s="12">
        <f>VLOOKUP(Tabell4[[#This Row],[Namn]],'ALLA ÅR'!B:L,11,0)</f>
        <v>20</v>
      </c>
      <c r="J50" s="12">
        <f>RANK(Tabell4[[#This Row],[MÅL]],F:F)</f>
        <v>13</v>
      </c>
      <c r="K50" s="12">
        <f>RANK(Tabell4[[#This Row],[VAR]],D:D)</f>
        <v>54</v>
      </c>
      <c r="L50" s="12">
        <f>RANK(Tabell4[[#This Row],[MAT]],C:C)</f>
        <v>36</v>
      </c>
      <c r="M50" s="14">
        <f>Tabell4[[#This Row],[MAT]]/Tabell4[[#This Row],[ANTAL MATCHER]]</f>
        <v>0.77083333333333337</v>
      </c>
      <c r="N50" s="12">
        <f>SUMIF('ALLA ÅR'!B:B,Tabell4[[#This Row],[Namn]],'ALLA ÅR'!H:H)</f>
        <v>48</v>
      </c>
      <c r="O50" s="12">
        <f>(Tabell4[[#This Row],[UTV]]*2)+Tabell4[[#This Row],[VAR]]</f>
        <v>0</v>
      </c>
      <c r="P50" s="12">
        <f>COUNTIF('100%'!B:B,Tabell4[[#This Row],[Namn]])</f>
        <v>1</v>
      </c>
      <c r="Q50" s="12">
        <f>_xlfn.XLOOKUP(Tabell4[[#This Row],[Namn]],Blad3!A:A,Blad3!B:B)</f>
        <v>0</v>
      </c>
      <c r="R50" s="12">
        <f>_xlfn.XLOOKUP(Tabell4[[#This Row],[Namn]],Blad3!A:A,Blad3!C:C)</f>
        <v>0</v>
      </c>
      <c r="S50" s="12">
        <f>_xlfn.XLOOKUP(Tabell4[[#This Row],[Namn]],Blad3!A:A,Blad3!D:D)</f>
        <v>0</v>
      </c>
      <c r="T50" s="12">
        <f>_xlfn.XLOOKUP(Tabell4[[#This Row],[Namn]],Blad3!A:A,Blad3!E:E)</f>
        <v>37</v>
      </c>
      <c r="U50" s="12">
        <f>RANK(Tabell4[[#This Row],[SÄS]],Tabell4[SÄS])</f>
        <v>33</v>
      </c>
      <c r="V50" s="12">
        <f>_xlfn.XLOOKUP(Tabell4[[#This Row],[Namn]],Blad3!H:H,Blad3!I:I)</f>
        <v>0</v>
      </c>
      <c r="W50" s="12">
        <f>_xlfn.XLOOKUP(Tabell4[[#This Row],[Namn]],Blad3!H:H,Blad3!J:J)</f>
        <v>0</v>
      </c>
      <c r="X50" s="12">
        <f>_xlfn.XLOOKUP(Tabell4[[#This Row],[Namn]],Blad3!H:H,Blad3!K:K)</f>
        <v>0</v>
      </c>
      <c r="Y50" s="12">
        <f>_xlfn.XLOOKUP(Tabell4[[#This Row],[Namn]],Blad3!H:H,Blad3!L:L)</f>
        <v>14</v>
      </c>
    </row>
    <row r="51" spans="1:25" x14ac:dyDescent="0.25">
      <c r="A51" s="15">
        <f>Tabell4[[#This Row],[RANK MATCHER]]</f>
        <v>37</v>
      </c>
      <c r="B51" s="11" t="s">
        <v>33</v>
      </c>
      <c r="C51" s="12">
        <f>SUMIF('ALLA ÅR'!B:B,Tabell4[[#This Row],[Namn]],'ALLA ÅR'!C:C)</f>
        <v>36</v>
      </c>
      <c r="D51" s="12">
        <f>SUMIF('ALLA ÅR'!B:B,Tabell4[[#This Row],[Namn]],'ALLA ÅR'!E:E)</f>
        <v>1</v>
      </c>
      <c r="E51" s="12">
        <f>SUMIF('ALLA ÅR'!B:B,Tabell4[[#This Row],[Namn]],'ALLA ÅR'!F:F)</f>
        <v>0</v>
      </c>
      <c r="F51" s="12">
        <f>SUMIF('ALLA ÅR'!B:B,Tabell4[[#This Row],[Namn]],'ALLA ÅR'!G:G)</f>
        <v>0</v>
      </c>
      <c r="G51" s="12">
        <f>VLOOKUP(Tabell4[[#This Row],[Namn]],'ALLA ÅR'!B:J,9,0)</f>
        <v>2026</v>
      </c>
      <c r="H51" s="12">
        <f>COUNTIF('ALLA ÅR'!B:B,Tabell4[[#This Row],[Namn]])</f>
        <v>5</v>
      </c>
      <c r="I51" s="12">
        <f>VLOOKUP(Tabell4[[#This Row],[Namn]],'ALLA ÅR'!B:L,11,0)</f>
        <v>27</v>
      </c>
      <c r="J51" s="12">
        <f>RANK(Tabell4[[#This Row],[MÅL]],F:F)</f>
        <v>107</v>
      </c>
      <c r="K51" s="12">
        <f>RANK(Tabell4[[#This Row],[VAR]],D:D)</f>
        <v>27</v>
      </c>
      <c r="L51" s="12">
        <f>RANK(Tabell4[[#This Row],[MAT]],C:C)</f>
        <v>37</v>
      </c>
      <c r="M51" s="14">
        <f>Tabell4[[#This Row],[MAT]]/Tabell4[[#This Row],[ANTAL MATCHER]]</f>
        <v>0.37894736842105264</v>
      </c>
      <c r="N51" s="12">
        <f>SUMIF('ALLA ÅR'!B:B,Tabell4[[#This Row],[Namn]],'ALLA ÅR'!H:H)</f>
        <v>95</v>
      </c>
      <c r="O51" s="12">
        <f>(Tabell4[[#This Row],[UTV]]*2)+Tabell4[[#This Row],[VAR]]</f>
        <v>1</v>
      </c>
      <c r="P51" s="12">
        <f>COUNTIF('100%'!B:B,Tabell4[[#This Row],[Namn]])</f>
        <v>0</v>
      </c>
      <c r="Q51" s="12">
        <f>_xlfn.XLOOKUP(Tabell4[[#This Row],[Namn]],Blad3!A:A,Blad3!B:B)</f>
        <v>0</v>
      </c>
      <c r="R51" s="12">
        <f>_xlfn.XLOOKUP(Tabell4[[#This Row],[Namn]],Blad3!A:A,Blad3!C:C)</f>
        <v>32</v>
      </c>
      <c r="S51" s="12">
        <f>_xlfn.XLOOKUP(Tabell4[[#This Row],[Namn]],Blad3!A:A,Blad3!D:D)</f>
        <v>0</v>
      </c>
      <c r="T51" s="12">
        <f>_xlfn.XLOOKUP(Tabell4[[#This Row],[Namn]],Blad3!A:A,Blad3!E:E)</f>
        <v>4</v>
      </c>
      <c r="U51" s="12">
        <f>RANK(Tabell4[[#This Row],[SÄS]],Tabell4[SÄS])</f>
        <v>10</v>
      </c>
      <c r="V51" s="12">
        <f>_xlfn.XLOOKUP(Tabell4[[#This Row],[Namn]],Blad3!H:H,Blad3!I:I)</f>
        <v>0</v>
      </c>
      <c r="W51" s="12">
        <f>_xlfn.XLOOKUP(Tabell4[[#This Row],[Namn]],Blad3!H:H,Blad3!J:J)</f>
        <v>0</v>
      </c>
      <c r="X51" s="12">
        <f>_xlfn.XLOOKUP(Tabell4[[#This Row],[Namn]],Blad3!H:H,Blad3!K:K)</f>
        <v>0</v>
      </c>
      <c r="Y51" s="12">
        <f>_xlfn.XLOOKUP(Tabell4[[#This Row],[Namn]],Blad3!H:H,Blad3!L:L)</f>
        <v>0</v>
      </c>
    </row>
    <row r="52" spans="1:25" x14ac:dyDescent="0.25">
      <c r="A52" s="15">
        <f>Tabell4[[#This Row],[RANK MATCHER]]</f>
        <v>37</v>
      </c>
      <c r="B52" s="11" t="s">
        <v>58</v>
      </c>
      <c r="C52" s="12">
        <f>SUMIF('ALLA ÅR'!B:B,Tabell4[[#This Row],[Namn]],'ALLA ÅR'!C:C)</f>
        <v>36</v>
      </c>
      <c r="D52" s="12">
        <f>SUMIF('ALLA ÅR'!B:B,Tabell4[[#This Row],[Namn]],'ALLA ÅR'!E:E)</f>
        <v>0</v>
      </c>
      <c r="E52" s="12">
        <f>SUMIF('ALLA ÅR'!B:B,Tabell4[[#This Row],[Namn]],'ALLA ÅR'!F:F)</f>
        <v>0</v>
      </c>
      <c r="F52" s="12">
        <f>SUMIF('ALLA ÅR'!B:B,Tabell4[[#This Row],[Namn]],'ALLA ÅR'!G:G)</f>
        <v>0</v>
      </c>
      <c r="G52" s="12">
        <f>VLOOKUP(Tabell4[[#This Row],[Namn]],'ALLA ÅR'!B:J,9,0)</f>
        <v>2024</v>
      </c>
      <c r="H52" s="12">
        <f>COUNTIF('ALLA ÅR'!B:B,Tabell4[[#This Row],[Namn]])</f>
        <v>2</v>
      </c>
      <c r="I52" s="12">
        <f>VLOOKUP(Tabell4[[#This Row],[Namn]],'ALLA ÅR'!B:L,11,0)</f>
        <v>25</v>
      </c>
      <c r="J52" s="12">
        <f>RANK(Tabell4[[#This Row],[MÅL]],F:F)</f>
        <v>107</v>
      </c>
      <c r="K52" s="12">
        <f>RANK(Tabell4[[#This Row],[VAR]],D:D)</f>
        <v>54</v>
      </c>
      <c r="L52" s="12">
        <f>RANK(Tabell4[[#This Row],[MAT]],C:C)</f>
        <v>37</v>
      </c>
      <c r="M52" s="14">
        <f>Tabell4[[#This Row],[MAT]]/Tabell4[[#This Row],[ANTAL MATCHER]]</f>
        <v>0.70588235294117652</v>
      </c>
      <c r="N52" s="12">
        <f>SUMIF('ALLA ÅR'!B:B,Tabell4[[#This Row],[Namn]],'ALLA ÅR'!H:H)</f>
        <v>51</v>
      </c>
      <c r="O52" s="12">
        <f>(Tabell4[[#This Row],[UTV]]*2)+Tabell4[[#This Row],[VAR]]</f>
        <v>0</v>
      </c>
      <c r="P52" s="12">
        <f>COUNTIF('100%'!B:B,Tabell4[[#This Row],[Namn]])</f>
        <v>0</v>
      </c>
      <c r="Q52" s="12">
        <f>_xlfn.XLOOKUP(Tabell4[[#This Row],[Namn]],Blad3!A:A,Blad3!B:B)</f>
        <v>0</v>
      </c>
      <c r="R52" s="12">
        <f>_xlfn.XLOOKUP(Tabell4[[#This Row],[Namn]],Blad3!A:A,Blad3!C:C)</f>
        <v>36</v>
      </c>
      <c r="S52" s="12">
        <f>_xlfn.XLOOKUP(Tabell4[[#This Row],[Namn]],Blad3!A:A,Blad3!D:D)</f>
        <v>0</v>
      </c>
      <c r="T52" s="12">
        <f>_xlfn.XLOOKUP(Tabell4[[#This Row],[Namn]],Blad3!A:A,Blad3!E:E)</f>
        <v>0</v>
      </c>
      <c r="U52" s="12">
        <f>RANK(Tabell4[[#This Row],[SÄS]],Tabell4[SÄS])</f>
        <v>61</v>
      </c>
      <c r="V52" s="12">
        <f>_xlfn.XLOOKUP(Tabell4[[#This Row],[Namn]],Blad3!H:H,Blad3!I:I)</f>
        <v>0</v>
      </c>
      <c r="W52" s="12">
        <f>_xlfn.XLOOKUP(Tabell4[[#This Row],[Namn]],Blad3!H:H,Blad3!J:J)</f>
        <v>0</v>
      </c>
      <c r="X52" s="12">
        <f>_xlfn.XLOOKUP(Tabell4[[#This Row],[Namn]],Blad3!H:H,Blad3!K:K)</f>
        <v>0</v>
      </c>
      <c r="Y52" s="12">
        <f>_xlfn.XLOOKUP(Tabell4[[#This Row],[Namn]],Blad3!H:H,Blad3!L:L)</f>
        <v>0</v>
      </c>
    </row>
    <row r="53" spans="1:25" x14ac:dyDescent="0.25">
      <c r="A53" s="15">
        <f>Tabell4[[#This Row],[RANK MATCHER]]</f>
        <v>37</v>
      </c>
      <c r="B53" s="11" t="s">
        <v>99</v>
      </c>
      <c r="C53" s="12">
        <f>SUMIF('ALLA ÅR'!B:B,Tabell4[[#This Row],[Namn]],'ALLA ÅR'!C:C)</f>
        <v>36</v>
      </c>
      <c r="D53" s="12">
        <f>SUMIF('ALLA ÅR'!B:B,Tabell4[[#This Row],[Namn]],'ALLA ÅR'!E:E)</f>
        <v>1</v>
      </c>
      <c r="E53" s="12">
        <f>SUMIF('ALLA ÅR'!B:B,Tabell4[[#This Row],[Namn]],'ALLA ÅR'!F:F)</f>
        <v>0</v>
      </c>
      <c r="F53" s="12">
        <f>SUMIF('ALLA ÅR'!B:B,Tabell4[[#This Row],[Namn]],'ALLA ÅR'!G:G)</f>
        <v>4</v>
      </c>
      <c r="G53" s="12">
        <f>VLOOKUP(Tabell4[[#This Row],[Namn]],'ALLA ÅR'!B:J,9,0)</f>
        <v>2020</v>
      </c>
      <c r="H53" s="12">
        <f>COUNTIF('ALLA ÅR'!B:B,Tabell4[[#This Row],[Namn]])</f>
        <v>2</v>
      </c>
      <c r="I53" s="12">
        <f>VLOOKUP(Tabell4[[#This Row],[Namn]],'ALLA ÅR'!B:L,11,0)</f>
        <v>22</v>
      </c>
      <c r="J53" s="12">
        <f>RANK(Tabell4[[#This Row],[MÅL]],F:F)</f>
        <v>41</v>
      </c>
      <c r="K53" s="12">
        <f>RANK(Tabell4[[#This Row],[VAR]],D:D)</f>
        <v>27</v>
      </c>
      <c r="L53" s="12">
        <f>RANK(Tabell4[[#This Row],[MAT]],C:C)</f>
        <v>37</v>
      </c>
      <c r="M53" s="14">
        <f>Tabell4[[#This Row],[MAT]]/Tabell4[[#This Row],[ANTAL MATCHER]]</f>
        <v>1</v>
      </c>
      <c r="N53" s="12">
        <f>SUMIF('ALLA ÅR'!B:B,Tabell4[[#This Row],[Namn]],'ALLA ÅR'!H:H)</f>
        <v>36</v>
      </c>
      <c r="O53" s="12">
        <f>(Tabell4[[#This Row],[UTV]]*2)+Tabell4[[#This Row],[VAR]]</f>
        <v>1</v>
      </c>
      <c r="P53" s="12">
        <f>COUNTIF('100%'!B:B,Tabell4[[#This Row],[Namn]])</f>
        <v>2</v>
      </c>
      <c r="Q53" s="12">
        <f>_xlfn.XLOOKUP(Tabell4[[#This Row],[Namn]],Blad3!A:A,Blad3!B:B)</f>
        <v>10</v>
      </c>
      <c r="R53" s="12">
        <f>_xlfn.XLOOKUP(Tabell4[[#This Row],[Namn]],Blad3!A:A,Blad3!C:C)</f>
        <v>26</v>
      </c>
      <c r="S53" s="12">
        <f>_xlfn.XLOOKUP(Tabell4[[#This Row],[Namn]],Blad3!A:A,Blad3!D:D)</f>
        <v>0</v>
      </c>
      <c r="T53" s="12">
        <f>_xlfn.XLOOKUP(Tabell4[[#This Row],[Namn]],Blad3!A:A,Blad3!E:E)</f>
        <v>0</v>
      </c>
      <c r="U53" s="12">
        <f>RANK(Tabell4[[#This Row],[SÄS]],Tabell4[SÄS])</f>
        <v>61</v>
      </c>
      <c r="V53" s="12">
        <f>_xlfn.XLOOKUP(Tabell4[[#This Row],[Namn]],Blad3!H:H,Blad3!I:I)</f>
        <v>0</v>
      </c>
      <c r="W53" s="12">
        <f>_xlfn.XLOOKUP(Tabell4[[#This Row],[Namn]],Blad3!H:H,Blad3!J:J)</f>
        <v>4</v>
      </c>
      <c r="X53" s="12">
        <f>_xlfn.XLOOKUP(Tabell4[[#This Row],[Namn]],Blad3!H:H,Blad3!K:K)</f>
        <v>0</v>
      </c>
      <c r="Y53" s="12">
        <f>_xlfn.XLOOKUP(Tabell4[[#This Row],[Namn]],Blad3!H:H,Blad3!L:L)</f>
        <v>0</v>
      </c>
    </row>
    <row r="54" spans="1:25" x14ac:dyDescent="0.25">
      <c r="A54" s="15">
        <f>Tabell4[[#This Row],[RANK MATCHER]]</f>
        <v>37</v>
      </c>
      <c r="B54" s="11" t="s">
        <v>189</v>
      </c>
      <c r="C54" s="12">
        <f>SUMIF('ALLA ÅR'!B:B,Tabell4[[#This Row],[Namn]],'ALLA ÅR'!C:C)</f>
        <v>36</v>
      </c>
      <c r="D54" s="12">
        <f>SUMIF('ALLA ÅR'!B:B,Tabell4[[#This Row],[Namn]],'ALLA ÅR'!E:E)</f>
        <v>4</v>
      </c>
      <c r="E54" s="12">
        <f>SUMIF('ALLA ÅR'!B:B,Tabell4[[#This Row],[Namn]],'ALLA ÅR'!F:F)</f>
        <v>0</v>
      </c>
      <c r="F54" s="12">
        <f>SUMIF('ALLA ÅR'!B:B,Tabell4[[#This Row],[Namn]],'ALLA ÅR'!G:G)</f>
        <v>5</v>
      </c>
      <c r="G54" s="12">
        <f>VLOOKUP(Tabell4[[#This Row],[Namn]],'ALLA ÅR'!B:J,9,0)</f>
        <v>2011</v>
      </c>
      <c r="H54" s="12">
        <f>COUNTIF('ALLA ÅR'!B:B,Tabell4[[#This Row],[Namn]])</f>
        <v>2</v>
      </c>
      <c r="I54" s="12">
        <f>VLOOKUP(Tabell4[[#This Row],[Namn]],'ALLA ÅR'!B:L,11,0)</f>
        <v>21</v>
      </c>
      <c r="J54" s="12">
        <f>RANK(Tabell4[[#This Row],[MÅL]],F:F)</f>
        <v>37</v>
      </c>
      <c r="K54" s="12">
        <f>RANK(Tabell4[[#This Row],[VAR]],D:D)</f>
        <v>5</v>
      </c>
      <c r="L54" s="12">
        <f>RANK(Tabell4[[#This Row],[MAT]],C:C)</f>
        <v>37</v>
      </c>
      <c r="M54" s="14">
        <f>Tabell4[[#This Row],[MAT]]/Tabell4[[#This Row],[ANTAL MATCHER]]</f>
        <v>0.78260869565217395</v>
      </c>
      <c r="N54" s="12">
        <f>SUMIF('ALLA ÅR'!B:B,Tabell4[[#This Row],[Namn]],'ALLA ÅR'!H:H)</f>
        <v>46</v>
      </c>
      <c r="O54" s="12">
        <f>(Tabell4[[#This Row],[UTV]]*2)+Tabell4[[#This Row],[VAR]]</f>
        <v>4</v>
      </c>
      <c r="P54" s="12">
        <f>COUNTIF('100%'!B:B,Tabell4[[#This Row],[Namn]])</f>
        <v>0</v>
      </c>
      <c r="Q54" s="12">
        <f>_xlfn.XLOOKUP(Tabell4[[#This Row],[Namn]],Blad3!A:A,Blad3!B:B)</f>
        <v>0</v>
      </c>
      <c r="R54" s="12">
        <f>_xlfn.XLOOKUP(Tabell4[[#This Row],[Namn]],Blad3!A:A,Blad3!C:C)</f>
        <v>0</v>
      </c>
      <c r="S54" s="12">
        <f>_xlfn.XLOOKUP(Tabell4[[#This Row],[Namn]],Blad3!A:A,Blad3!D:D)</f>
        <v>36</v>
      </c>
      <c r="T54" s="12">
        <f>_xlfn.XLOOKUP(Tabell4[[#This Row],[Namn]],Blad3!A:A,Blad3!E:E)</f>
        <v>0</v>
      </c>
      <c r="U54" s="12">
        <f>RANK(Tabell4[[#This Row],[SÄS]],Tabell4[SÄS])</f>
        <v>61</v>
      </c>
      <c r="V54" s="12">
        <f>_xlfn.XLOOKUP(Tabell4[[#This Row],[Namn]],Blad3!H:H,Blad3!I:I)</f>
        <v>0</v>
      </c>
      <c r="W54" s="12">
        <f>_xlfn.XLOOKUP(Tabell4[[#This Row],[Namn]],Blad3!H:H,Blad3!J:J)</f>
        <v>0</v>
      </c>
      <c r="X54" s="12">
        <f>_xlfn.XLOOKUP(Tabell4[[#This Row],[Namn]],Blad3!H:H,Blad3!K:K)</f>
        <v>5</v>
      </c>
      <c r="Y54" s="12">
        <f>_xlfn.XLOOKUP(Tabell4[[#This Row],[Namn]],Blad3!H:H,Blad3!L:L)</f>
        <v>0</v>
      </c>
    </row>
    <row r="55" spans="1:25" x14ac:dyDescent="0.25">
      <c r="A55" s="15">
        <f>Tabell4[[#This Row],[RANK MATCHER]]</f>
        <v>41</v>
      </c>
      <c r="B55" s="11" t="s">
        <v>79</v>
      </c>
      <c r="C55" s="12">
        <f>SUMIF('ALLA ÅR'!B:B,Tabell4[[#This Row],[Namn]],'ALLA ÅR'!C:C)</f>
        <v>35</v>
      </c>
      <c r="D55" s="12">
        <f>SUMIF('ALLA ÅR'!B:B,Tabell4[[#This Row],[Namn]],'ALLA ÅR'!E:E)</f>
        <v>0</v>
      </c>
      <c r="E55" s="12">
        <f>SUMIF('ALLA ÅR'!B:B,Tabell4[[#This Row],[Namn]],'ALLA ÅR'!F:F)</f>
        <v>0</v>
      </c>
      <c r="F55" s="12">
        <f>SUMIF('ALLA ÅR'!B:B,Tabell4[[#This Row],[Namn]],'ALLA ÅR'!G:G)</f>
        <v>1</v>
      </c>
      <c r="G55" s="12">
        <f>VLOOKUP(Tabell4[[#This Row],[Namn]],'ALLA ÅR'!B:J,9,0)</f>
        <v>2023</v>
      </c>
      <c r="H55" s="12">
        <f>COUNTIF('ALLA ÅR'!B:B,Tabell4[[#This Row],[Namn]])</f>
        <v>4</v>
      </c>
      <c r="I55" s="12">
        <f>VLOOKUP(Tabell4[[#This Row],[Namn]],'ALLA ÅR'!B:L,11,0)</f>
        <v>19</v>
      </c>
      <c r="J55" s="12">
        <f>RANK(Tabell4[[#This Row],[MÅL]],F:F)</f>
        <v>67</v>
      </c>
      <c r="K55" s="12">
        <f>RANK(Tabell4[[#This Row],[VAR]],D:D)</f>
        <v>54</v>
      </c>
      <c r="L55" s="12">
        <f>RANK(Tabell4[[#This Row],[MAT]],C:C)</f>
        <v>41</v>
      </c>
      <c r="M55" s="14">
        <f>Tabell4[[#This Row],[MAT]]/Tabell4[[#This Row],[ANTAL MATCHER]]</f>
        <v>0.4861111111111111</v>
      </c>
      <c r="N55" s="12">
        <f>SUMIF('ALLA ÅR'!B:B,Tabell4[[#This Row],[Namn]],'ALLA ÅR'!H:H)</f>
        <v>72</v>
      </c>
      <c r="O55" s="12">
        <f>(Tabell4[[#This Row],[UTV]]*2)+Tabell4[[#This Row],[VAR]]</f>
        <v>0</v>
      </c>
      <c r="P55" s="12">
        <f>COUNTIF('100%'!B:B,Tabell4[[#This Row],[Namn]])</f>
        <v>0</v>
      </c>
      <c r="Q55" s="12">
        <f>_xlfn.XLOOKUP(Tabell4[[#This Row],[Namn]],Blad3!A:A,Blad3!B:B)</f>
        <v>3</v>
      </c>
      <c r="R55" s="12">
        <f>_xlfn.XLOOKUP(Tabell4[[#This Row],[Namn]],Blad3!A:A,Blad3!C:C)</f>
        <v>32</v>
      </c>
      <c r="S55" s="12">
        <f>_xlfn.XLOOKUP(Tabell4[[#This Row],[Namn]],Blad3!A:A,Blad3!D:D)</f>
        <v>0</v>
      </c>
      <c r="T55" s="12">
        <f>_xlfn.XLOOKUP(Tabell4[[#This Row],[Namn]],Blad3!A:A,Blad3!E:E)</f>
        <v>0</v>
      </c>
      <c r="U55" s="12">
        <f>RANK(Tabell4[[#This Row],[SÄS]],Tabell4[SÄS])</f>
        <v>26</v>
      </c>
      <c r="V55" s="12">
        <f>_xlfn.XLOOKUP(Tabell4[[#This Row],[Namn]],Blad3!H:H,Blad3!I:I)</f>
        <v>0</v>
      </c>
      <c r="W55" s="12">
        <f>_xlfn.XLOOKUP(Tabell4[[#This Row],[Namn]],Blad3!H:H,Blad3!J:J)</f>
        <v>1</v>
      </c>
      <c r="X55" s="12">
        <f>_xlfn.XLOOKUP(Tabell4[[#This Row],[Namn]],Blad3!H:H,Blad3!K:K)</f>
        <v>0</v>
      </c>
      <c r="Y55" s="12">
        <f>_xlfn.XLOOKUP(Tabell4[[#This Row],[Namn]],Blad3!H:H,Blad3!L:L)</f>
        <v>0</v>
      </c>
    </row>
    <row r="56" spans="1:25" x14ac:dyDescent="0.25">
      <c r="A56" s="15">
        <f>Tabell4[[#This Row],[RANK MATCHER]]</f>
        <v>41</v>
      </c>
      <c r="B56" s="11" t="s">
        <v>170</v>
      </c>
      <c r="C56" s="12">
        <f>SUMIF('ALLA ÅR'!B:B,Tabell4[[#This Row],[Namn]],'ALLA ÅR'!C:C)</f>
        <v>35</v>
      </c>
      <c r="D56" s="12">
        <f>SUMIF('ALLA ÅR'!B:B,Tabell4[[#This Row],[Namn]],'ALLA ÅR'!E:E)</f>
        <v>0</v>
      </c>
      <c r="E56" s="12">
        <f>SUMIF('ALLA ÅR'!B:B,Tabell4[[#This Row],[Namn]],'ALLA ÅR'!F:F)</f>
        <v>0</v>
      </c>
      <c r="F56" s="12">
        <f>SUMIF('ALLA ÅR'!B:B,Tabell4[[#This Row],[Namn]],'ALLA ÅR'!G:G)</f>
        <v>1</v>
      </c>
      <c r="G56" s="12">
        <f>VLOOKUP(Tabell4[[#This Row],[Namn]],'ALLA ÅR'!B:J,9,0)</f>
        <v>2014</v>
      </c>
      <c r="H56" s="12">
        <f>COUNTIF('ALLA ÅR'!B:B,Tabell4[[#This Row],[Namn]])</f>
        <v>4</v>
      </c>
      <c r="I56" s="12">
        <f>VLOOKUP(Tabell4[[#This Row],[Namn]],'ALLA ÅR'!B:L,11,0)</f>
        <v>24</v>
      </c>
      <c r="J56" s="12">
        <f>RANK(Tabell4[[#This Row],[MÅL]],F:F)</f>
        <v>67</v>
      </c>
      <c r="K56" s="12">
        <f>RANK(Tabell4[[#This Row],[VAR]],D:D)</f>
        <v>54</v>
      </c>
      <c r="L56" s="12">
        <f>RANK(Tabell4[[#This Row],[MAT]],C:C)</f>
        <v>41</v>
      </c>
      <c r="M56" s="14">
        <f>Tabell4[[#This Row],[MAT]]/Tabell4[[#This Row],[ANTAL MATCHER]]</f>
        <v>0.4861111111111111</v>
      </c>
      <c r="N56" s="12">
        <f>SUMIF('ALLA ÅR'!B:B,Tabell4[[#This Row],[Namn]],'ALLA ÅR'!H:H)</f>
        <v>72</v>
      </c>
      <c r="O56" s="12">
        <f>(Tabell4[[#This Row],[UTV]]*2)+Tabell4[[#This Row],[VAR]]</f>
        <v>0</v>
      </c>
      <c r="P56" s="12">
        <f>COUNTIF('100%'!B:B,Tabell4[[#This Row],[Namn]])</f>
        <v>1</v>
      </c>
      <c r="Q56" s="12">
        <f>_xlfn.XLOOKUP(Tabell4[[#This Row],[Namn]],Blad3!A:A,Blad3!B:B)</f>
        <v>0</v>
      </c>
      <c r="R56" s="12">
        <f>_xlfn.XLOOKUP(Tabell4[[#This Row],[Namn]],Blad3!A:A,Blad3!C:C)</f>
        <v>0</v>
      </c>
      <c r="S56" s="12">
        <f>_xlfn.XLOOKUP(Tabell4[[#This Row],[Namn]],Blad3!A:A,Blad3!D:D)</f>
        <v>1</v>
      </c>
      <c r="T56" s="12">
        <f>_xlfn.XLOOKUP(Tabell4[[#This Row],[Namn]],Blad3!A:A,Blad3!E:E)</f>
        <v>34</v>
      </c>
      <c r="U56" s="12">
        <f>RANK(Tabell4[[#This Row],[SÄS]],Tabell4[SÄS])</f>
        <v>26</v>
      </c>
      <c r="V56" s="12">
        <f>_xlfn.XLOOKUP(Tabell4[[#This Row],[Namn]],Blad3!H:H,Blad3!I:I)</f>
        <v>0</v>
      </c>
      <c r="W56" s="12">
        <f>_xlfn.XLOOKUP(Tabell4[[#This Row],[Namn]],Blad3!H:H,Blad3!J:J)</f>
        <v>0</v>
      </c>
      <c r="X56" s="12">
        <f>_xlfn.XLOOKUP(Tabell4[[#This Row],[Namn]],Blad3!H:H,Blad3!K:K)</f>
        <v>0</v>
      </c>
      <c r="Y56" s="12">
        <f>_xlfn.XLOOKUP(Tabell4[[#This Row],[Namn]],Blad3!H:H,Blad3!L:L)</f>
        <v>1</v>
      </c>
    </row>
    <row r="57" spans="1:25" x14ac:dyDescent="0.25">
      <c r="A57" s="15">
        <f>Tabell4[[#This Row],[RANK MATCHER]]</f>
        <v>41</v>
      </c>
      <c r="B57" s="11" t="s">
        <v>172</v>
      </c>
      <c r="C57" s="12">
        <f>SUMIF('ALLA ÅR'!B:B,Tabell4[[#This Row],[Namn]],'ALLA ÅR'!C:C)</f>
        <v>35</v>
      </c>
      <c r="D57" s="12">
        <f>SUMIF('ALLA ÅR'!B:B,Tabell4[[#This Row],[Namn]],'ALLA ÅR'!E:E)</f>
        <v>1</v>
      </c>
      <c r="E57" s="12">
        <f>SUMIF('ALLA ÅR'!B:B,Tabell4[[#This Row],[Namn]],'ALLA ÅR'!F:F)</f>
        <v>0</v>
      </c>
      <c r="F57" s="12">
        <f>SUMIF('ALLA ÅR'!B:B,Tabell4[[#This Row],[Namn]],'ALLA ÅR'!G:G)</f>
        <v>0</v>
      </c>
      <c r="G57" s="12">
        <f>VLOOKUP(Tabell4[[#This Row],[Namn]],'ALLA ÅR'!B:J,9,0)</f>
        <v>2014</v>
      </c>
      <c r="H57" s="12">
        <f>COUNTIF('ALLA ÅR'!B:B,Tabell4[[#This Row],[Namn]])</f>
        <v>3</v>
      </c>
      <c r="I57" s="12">
        <f>VLOOKUP(Tabell4[[#This Row],[Namn]],'ALLA ÅR'!B:L,11,0)</f>
        <v>23</v>
      </c>
      <c r="J57" s="12">
        <f>RANK(Tabell4[[#This Row],[MÅL]],F:F)</f>
        <v>107</v>
      </c>
      <c r="K57" s="12">
        <f>RANK(Tabell4[[#This Row],[VAR]],D:D)</f>
        <v>27</v>
      </c>
      <c r="L57" s="12">
        <f>RANK(Tabell4[[#This Row],[MAT]],C:C)</f>
        <v>41</v>
      </c>
      <c r="M57" s="14">
        <f>Tabell4[[#This Row],[MAT]]/Tabell4[[#This Row],[ANTAL MATCHER]]</f>
        <v>0.72916666666666663</v>
      </c>
      <c r="N57" s="12">
        <f>SUMIF('ALLA ÅR'!B:B,Tabell4[[#This Row],[Namn]],'ALLA ÅR'!H:H)</f>
        <v>48</v>
      </c>
      <c r="O57" s="12">
        <f>(Tabell4[[#This Row],[UTV]]*2)+Tabell4[[#This Row],[VAR]]</f>
        <v>1</v>
      </c>
      <c r="P57" s="12">
        <f>COUNTIF('100%'!B:B,Tabell4[[#This Row],[Namn]])</f>
        <v>0</v>
      </c>
      <c r="Q57" s="12">
        <f>_xlfn.XLOOKUP(Tabell4[[#This Row],[Namn]],Blad3!A:A,Blad3!B:B)</f>
        <v>0</v>
      </c>
      <c r="R57" s="12">
        <f>_xlfn.XLOOKUP(Tabell4[[#This Row],[Namn]],Blad3!A:A,Blad3!C:C)</f>
        <v>0</v>
      </c>
      <c r="S57" s="12">
        <f>_xlfn.XLOOKUP(Tabell4[[#This Row],[Namn]],Blad3!A:A,Blad3!D:D)</f>
        <v>0</v>
      </c>
      <c r="T57" s="12">
        <f>_xlfn.XLOOKUP(Tabell4[[#This Row],[Namn]],Blad3!A:A,Blad3!E:E)</f>
        <v>35</v>
      </c>
      <c r="U57" s="12">
        <f>RANK(Tabell4[[#This Row],[SÄS]],Tabell4[SÄS])</f>
        <v>33</v>
      </c>
      <c r="V57" s="12">
        <f>_xlfn.XLOOKUP(Tabell4[[#This Row],[Namn]],Blad3!H:H,Blad3!I:I)</f>
        <v>0</v>
      </c>
      <c r="W57" s="12">
        <f>_xlfn.XLOOKUP(Tabell4[[#This Row],[Namn]],Blad3!H:H,Blad3!J:J)</f>
        <v>0</v>
      </c>
      <c r="X57" s="12">
        <f>_xlfn.XLOOKUP(Tabell4[[#This Row],[Namn]],Blad3!H:H,Blad3!K:K)</f>
        <v>0</v>
      </c>
      <c r="Y57" s="12">
        <f>_xlfn.XLOOKUP(Tabell4[[#This Row],[Namn]],Blad3!H:H,Blad3!L:L)</f>
        <v>0</v>
      </c>
    </row>
    <row r="58" spans="1:25" x14ac:dyDescent="0.25">
      <c r="A58" s="15">
        <f>Tabell4[[#This Row],[RANK MATCHER]]</f>
        <v>44</v>
      </c>
      <c r="B58" s="11" t="s">
        <v>66</v>
      </c>
      <c r="C58" s="12">
        <f>SUMIF('ALLA ÅR'!B:B,Tabell4[[#This Row],[Namn]],'ALLA ÅR'!C:C)</f>
        <v>32</v>
      </c>
      <c r="D58" s="12">
        <f>SUMIF('ALLA ÅR'!B:B,Tabell4[[#This Row],[Namn]],'ALLA ÅR'!E:E)</f>
        <v>3</v>
      </c>
      <c r="E58" s="12">
        <f>SUMIF('ALLA ÅR'!B:B,Tabell4[[#This Row],[Namn]],'ALLA ÅR'!F:F)</f>
        <v>0</v>
      </c>
      <c r="F58" s="12">
        <f>SUMIF('ALLA ÅR'!B:B,Tabell4[[#This Row],[Namn]],'ALLA ÅR'!G:G)</f>
        <v>1</v>
      </c>
      <c r="G58" s="12">
        <f>VLOOKUP(Tabell4[[#This Row],[Namn]],'ALLA ÅR'!B:J,9,0)</f>
        <v>2024</v>
      </c>
      <c r="H58" s="12">
        <f>COUNTIF('ALLA ÅR'!B:B,Tabell4[[#This Row],[Namn]])</f>
        <v>3</v>
      </c>
      <c r="I58" s="12">
        <f>VLOOKUP(Tabell4[[#This Row],[Namn]],'ALLA ÅR'!B:L,11,0)</f>
        <v>27</v>
      </c>
      <c r="J58" s="12">
        <f>RANK(Tabell4[[#This Row],[MÅL]],F:F)</f>
        <v>67</v>
      </c>
      <c r="K58" s="12">
        <f>RANK(Tabell4[[#This Row],[VAR]],D:D)</f>
        <v>10</v>
      </c>
      <c r="L58" s="12">
        <f>RANK(Tabell4[[#This Row],[MAT]],C:C)</f>
        <v>44</v>
      </c>
      <c r="M58" s="14">
        <f>Tabell4[[#This Row],[MAT]]/Tabell4[[#This Row],[ANTAL MATCHER]]</f>
        <v>0.46376811594202899</v>
      </c>
      <c r="N58" s="12">
        <f>SUMIF('ALLA ÅR'!B:B,Tabell4[[#This Row],[Namn]],'ALLA ÅR'!H:H)</f>
        <v>69</v>
      </c>
      <c r="O58" s="12">
        <f>(Tabell4[[#This Row],[UTV]]*2)+Tabell4[[#This Row],[VAR]]</f>
        <v>3</v>
      </c>
      <c r="P58" s="12">
        <f>COUNTIF('100%'!B:B,Tabell4[[#This Row],[Namn]])</f>
        <v>0</v>
      </c>
      <c r="Q58" s="12">
        <f>_xlfn.XLOOKUP(Tabell4[[#This Row],[Namn]],Blad3!A:A,Blad3!B:B)</f>
        <v>0</v>
      </c>
      <c r="R58" s="12">
        <f>_xlfn.XLOOKUP(Tabell4[[#This Row],[Namn]],Blad3!A:A,Blad3!C:C)</f>
        <v>32</v>
      </c>
      <c r="S58" s="12">
        <f>_xlfn.XLOOKUP(Tabell4[[#This Row],[Namn]],Blad3!A:A,Blad3!D:D)</f>
        <v>0</v>
      </c>
      <c r="T58" s="12">
        <f>_xlfn.XLOOKUP(Tabell4[[#This Row],[Namn]],Blad3!A:A,Blad3!E:E)</f>
        <v>0</v>
      </c>
      <c r="U58" s="12">
        <f>RANK(Tabell4[[#This Row],[SÄS]],Tabell4[SÄS])</f>
        <v>33</v>
      </c>
      <c r="V58" s="12">
        <f>_xlfn.XLOOKUP(Tabell4[[#This Row],[Namn]],Blad3!H:H,Blad3!I:I)</f>
        <v>0</v>
      </c>
      <c r="W58" s="12">
        <f>_xlfn.XLOOKUP(Tabell4[[#This Row],[Namn]],Blad3!H:H,Blad3!J:J)</f>
        <v>1</v>
      </c>
      <c r="X58" s="12">
        <f>_xlfn.XLOOKUP(Tabell4[[#This Row],[Namn]],Blad3!H:H,Blad3!K:K)</f>
        <v>0</v>
      </c>
      <c r="Y58" s="12">
        <f>_xlfn.XLOOKUP(Tabell4[[#This Row],[Namn]],Blad3!H:H,Blad3!L:L)</f>
        <v>0</v>
      </c>
    </row>
    <row r="59" spans="1:25" x14ac:dyDescent="0.25">
      <c r="A59" s="15">
        <f>Tabell4[[#This Row],[RANK MATCHER]]</f>
        <v>44</v>
      </c>
      <c r="B59" s="11" t="s">
        <v>171</v>
      </c>
      <c r="C59" s="12">
        <f>SUMIF('ALLA ÅR'!B:B,Tabell4[[#This Row],[Namn]],'ALLA ÅR'!C:C)</f>
        <v>32</v>
      </c>
      <c r="D59" s="12">
        <f>SUMIF('ALLA ÅR'!B:B,Tabell4[[#This Row],[Namn]],'ALLA ÅR'!E:E)</f>
        <v>0</v>
      </c>
      <c r="E59" s="12">
        <f>SUMIF('ALLA ÅR'!B:B,Tabell4[[#This Row],[Namn]],'ALLA ÅR'!F:F)</f>
        <v>0</v>
      </c>
      <c r="F59" s="12">
        <f>SUMIF('ALLA ÅR'!B:B,Tabell4[[#This Row],[Namn]],'ALLA ÅR'!G:G)</f>
        <v>0</v>
      </c>
      <c r="G59" s="12">
        <f>VLOOKUP(Tabell4[[#This Row],[Namn]],'ALLA ÅR'!B:J,9,0)</f>
        <v>2014</v>
      </c>
      <c r="H59" s="12">
        <f>COUNTIF('ALLA ÅR'!B:B,Tabell4[[#This Row],[Namn]])</f>
        <v>3</v>
      </c>
      <c r="I59" s="12">
        <f>VLOOKUP(Tabell4[[#This Row],[Namn]],'ALLA ÅR'!B:L,11,0)</f>
        <v>17</v>
      </c>
      <c r="J59" s="12">
        <f>RANK(Tabell4[[#This Row],[MÅL]],F:F)</f>
        <v>107</v>
      </c>
      <c r="K59" s="12">
        <f>RANK(Tabell4[[#This Row],[VAR]],D:D)</f>
        <v>54</v>
      </c>
      <c r="L59" s="12">
        <f>RANK(Tabell4[[#This Row],[MAT]],C:C)</f>
        <v>44</v>
      </c>
      <c r="M59" s="14">
        <f>Tabell4[[#This Row],[MAT]]/Tabell4[[#This Row],[ANTAL MATCHER]]</f>
        <v>0.66666666666666663</v>
      </c>
      <c r="N59" s="12">
        <f>SUMIF('ALLA ÅR'!B:B,Tabell4[[#This Row],[Namn]],'ALLA ÅR'!H:H)</f>
        <v>48</v>
      </c>
      <c r="O59" s="12">
        <f>(Tabell4[[#This Row],[UTV]]*2)+Tabell4[[#This Row],[VAR]]</f>
        <v>0</v>
      </c>
      <c r="P59" s="12">
        <f>COUNTIF('100%'!B:B,Tabell4[[#This Row],[Namn]])</f>
        <v>0</v>
      </c>
      <c r="Q59" s="12">
        <f>_xlfn.XLOOKUP(Tabell4[[#This Row],[Namn]],Blad3!A:A,Blad3!B:B)</f>
        <v>0</v>
      </c>
      <c r="R59" s="12">
        <f>_xlfn.XLOOKUP(Tabell4[[#This Row],[Namn]],Blad3!A:A,Blad3!C:C)</f>
        <v>0</v>
      </c>
      <c r="S59" s="12">
        <f>_xlfn.XLOOKUP(Tabell4[[#This Row],[Namn]],Blad3!A:A,Blad3!D:D)</f>
        <v>0</v>
      </c>
      <c r="T59" s="12">
        <f>_xlfn.XLOOKUP(Tabell4[[#This Row],[Namn]],Blad3!A:A,Blad3!E:E)</f>
        <v>32</v>
      </c>
      <c r="U59" s="12">
        <f>RANK(Tabell4[[#This Row],[SÄS]],Tabell4[SÄS])</f>
        <v>33</v>
      </c>
      <c r="V59" s="12">
        <f>_xlfn.XLOOKUP(Tabell4[[#This Row],[Namn]],Blad3!H:H,Blad3!I:I)</f>
        <v>0</v>
      </c>
      <c r="W59" s="12">
        <f>_xlfn.XLOOKUP(Tabell4[[#This Row],[Namn]],Blad3!H:H,Blad3!J:J)</f>
        <v>0</v>
      </c>
      <c r="X59" s="12">
        <f>_xlfn.XLOOKUP(Tabell4[[#This Row],[Namn]],Blad3!H:H,Blad3!K:K)</f>
        <v>0</v>
      </c>
      <c r="Y59" s="12">
        <f>_xlfn.XLOOKUP(Tabell4[[#This Row],[Namn]],Blad3!H:H,Blad3!L:L)</f>
        <v>0</v>
      </c>
    </row>
    <row r="60" spans="1:25" x14ac:dyDescent="0.25">
      <c r="A60" s="15">
        <f>Tabell4[[#This Row],[RANK MATCHER]]</f>
        <v>46</v>
      </c>
      <c r="B60" s="11" t="s">
        <v>112</v>
      </c>
      <c r="C60" s="12">
        <f>SUMIF('ALLA ÅR'!B:B,Tabell4[[#This Row],[Namn]],'ALLA ÅR'!C:C)</f>
        <v>31</v>
      </c>
      <c r="D60" s="12">
        <f>SUMIF('ALLA ÅR'!B:B,Tabell4[[#This Row],[Namn]],'ALLA ÅR'!E:E)</f>
        <v>4</v>
      </c>
      <c r="E60" s="12">
        <f>SUMIF('ALLA ÅR'!B:B,Tabell4[[#This Row],[Namn]],'ALLA ÅR'!F:F)</f>
        <v>0</v>
      </c>
      <c r="F60" s="12">
        <f>SUMIF('ALLA ÅR'!B:B,Tabell4[[#This Row],[Namn]],'ALLA ÅR'!G:G)</f>
        <v>28</v>
      </c>
      <c r="G60" s="12">
        <f>VLOOKUP(Tabell4[[#This Row],[Namn]],'ALLA ÅR'!B:J,9,0)</f>
        <v>2018</v>
      </c>
      <c r="H60" s="12">
        <f>COUNTIF('ALLA ÅR'!B:B,Tabell4[[#This Row],[Namn]])</f>
        <v>2</v>
      </c>
      <c r="I60" s="12">
        <f>VLOOKUP(Tabell4[[#This Row],[Namn]],'ALLA ÅR'!B:L,11,0)</f>
        <v>26</v>
      </c>
      <c r="J60" s="12">
        <f>RANK(Tabell4[[#This Row],[MÅL]],F:F)</f>
        <v>7</v>
      </c>
      <c r="K60" s="12">
        <f>RANK(Tabell4[[#This Row],[VAR]],D:D)</f>
        <v>5</v>
      </c>
      <c r="L60" s="12">
        <f>RANK(Tabell4[[#This Row],[MAT]],C:C)</f>
        <v>46</v>
      </c>
      <c r="M60" s="14">
        <f>Tabell4[[#This Row],[MAT]]/Tabell4[[#This Row],[ANTAL MATCHER]]</f>
        <v>0.91176470588235292</v>
      </c>
      <c r="N60" s="12">
        <f>SUMIF('ALLA ÅR'!B:B,Tabell4[[#This Row],[Namn]],'ALLA ÅR'!H:H)</f>
        <v>34</v>
      </c>
      <c r="O60" s="12">
        <f>(Tabell4[[#This Row],[UTV]]*2)+Tabell4[[#This Row],[VAR]]</f>
        <v>4</v>
      </c>
      <c r="P60" s="12">
        <f>COUNTIF('100%'!B:B,Tabell4[[#This Row],[Namn]])</f>
        <v>0</v>
      </c>
      <c r="Q60" s="12">
        <f>_xlfn.XLOOKUP(Tabell4[[#This Row],[Namn]],Blad3!A:A,Blad3!B:B)</f>
        <v>0</v>
      </c>
      <c r="R60" s="12">
        <f>_xlfn.XLOOKUP(Tabell4[[#This Row],[Namn]],Blad3!A:A,Blad3!C:C)</f>
        <v>16</v>
      </c>
      <c r="S60" s="12">
        <f>_xlfn.XLOOKUP(Tabell4[[#This Row],[Namn]],Blad3!A:A,Blad3!D:D)</f>
        <v>15</v>
      </c>
      <c r="T60" s="12">
        <f>_xlfn.XLOOKUP(Tabell4[[#This Row],[Namn]],Blad3!A:A,Blad3!E:E)</f>
        <v>0</v>
      </c>
      <c r="U60" s="12">
        <f>RANK(Tabell4[[#This Row],[SÄS]],Tabell4[SÄS])</f>
        <v>61</v>
      </c>
      <c r="V60" s="12">
        <f>_xlfn.XLOOKUP(Tabell4[[#This Row],[Namn]],Blad3!H:H,Blad3!I:I)</f>
        <v>0</v>
      </c>
      <c r="W60" s="12">
        <f>_xlfn.XLOOKUP(Tabell4[[#This Row],[Namn]],Blad3!H:H,Blad3!J:J)</f>
        <v>8</v>
      </c>
      <c r="X60" s="12">
        <f>_xlfn.XLOOKUP(Tabell4[[#This Row],[Namn]],Blad3!H:H,Blad3!K:K)</f>
        <v>20</v>
      </c>
      <c r="Y60" s="12">
        <f>_xlfn.XLOOKUP(Tabell4[[#This Row],[Namn]],Blad3!H:H,Blad3!L:L)</f>
        <v>0</v>
      </c>
    </row>
    <row r="61" spans="1:25" x14ac:dyDescent="0.25">
      <c r="A61" s="15">
        <f>Tabell4[[#This Row],[RANK MATCHER]]</f>
        <v>47</v>
      </c>
      <c r="B61" s="11" t="s">
        <v>75</v>
      </c>
      <c r="C61" s="12">
        <f>SUMIF('ALLA ÅR'!B:B,Tabell4[[#This Row],[Namn]],'ALLA ÅR'!C:C)</f>
        <v>30</v>
      </c>
      <c r="D61" s="12">
        <f>SUMIF('ALLA ÅR'!B:B,Tabell4[[#This Row],[Namn]],'ALLA ÅR'!E:E)</f>
        <v>0</v>
      </c>
      <c r="E61" s="12">
        <f>SUMIF('ALLA ÅR'!B:B,Tabell4[[#This Row],[Namn]],'ALLA ÅR'!F:F)</f>
        <v>0</v>
      </c>
      <c r="F61" s="12">
        <f>SUMIF('ALLA ÅR'!B:B,Tabell4[[#This Row],[Namn]],'ALLA ÅR'!G:G)</f>
        <v>0</v>
      </c>
      <c r="G61" s="12">
        <f>VLOOKUP(Tabell4[[#This Row],[Namn]],'ALLA ÅR'!B:J,9,0)</f>
        <v>2023</v>
      </c>
      <c r="H61" s="12">
        <f>COUNTIF('ALLA ÅR'!B:B,Tabell4[[#This Row],[Namn]])</f>
        <v>3</v>
      </c>
      <c r="I61" s="12">
        <f>VLOOKUP(Tabell4[[#This Row],[Namn]],'ALLA ÅR'!B:L,11,0)</f>
        <v>24</v>
      </c>
      <c r="J61" s="12">
        <f>RANK(Tabell4[[#This Row],[MÅL]],F:F)</f>
        <v>107</v>
      </c>
      <c r="K61" s="12">
        <f>RANK(Tabell4[[#This Row],[VAR]],D:D)</f>
        <v>54</v>
      </c>
      <c r="L61" s="12">
        <f>RANK(Tabell4[[#This Row],[MAT]],C:C)</f>
        <v>47</v>
      </c>
      <c r="M61" s="14">
        <f>Tabell4[[#This Row],[MAT]]/Tabell4[[#This Row],[ANTAL MATCHER]]</f>
        <v>0.69767441860465118</v>
      </c>
      <c r="N61" s="12">
        <f>SUMIF('ALLA ÅR'!B:B,Tabell4[[#This Row],[Namn]],'ALLA ÅR'!H:H)</f>
        <v>43</v>
      </c>
      <c r="O61" s="12">
        <f>(Tabell4[[#This Row],[UTV]]*2)+Tabell4[[#This Row],[VAR]]</f>
        <v>0</v>
      </c>
      <c r="P61" s="12">
        <f>COUNTIF('100%'!B:B,Tabell4[[#This Row],[Namn]])</f>
        <v>0</v>
      </c>
      <c r="Q61" s="12">
        <f>_xlfn.XLOOKUP(Tabell4[[#This Row],[Namn]],Blad3!A:A,Blad3!B:B)</f>
        <v>9</v>
      </c>
      <c r="R61" s="12">
        <f>_xlfn.XLOOKUP(Tabell4[[#This Row],[Namn]],Blad3!A:A,Blad3!C:C)</f>
        <v>21</v>
      </c>
      <c r="S61" s="12">
        <f>_xlfn.XLOOKUP(Tabell4[[#This Row],[Namn]],Blad3!A:A,Blad3!D:D)</f>
        <v>0</v>
      </c>
      <c r="T61" s="12">
        <f>_xlfn.XLOOKUP(Tabell4[[#This Row],[Namn]],Blad3!A:A,Blad3!E:E)</f>
        <v>0</v>
      </c>
      <c r="U61" s="12">
        <f>RANK(Tabell4[[#This Row],[SÄS]],Tabell4[SÄS])</f>
        <v>33</v>
      </c>
      <c r="V61" s="12">
        <f>_xlfn.XLOOKUP(Tabell4[[#This Row],[Namn]],Blad3!H:H,Blad3!I:I)</f>
        <v>0</v>
      </c>
      <c r="W61" s="12">
        <f>_xlfn.XLOOKUP(Tabell4[[#This Row],[Namn]],Blad3!H:H,Blad3!J:J)</f>
        <v>0</v>
      </c>
      <c r="X61" s="12">
        <f>_xlfn.XLOOKUP(Tabell4[[#This Row],[Namn]],Blad3!H:H,Blad3!K:K)</f>
        <v>0</v>
      </c>
      <c r="Y61" s="12">
        <f>_xlfn.XLOOKUP(Tabell4[[#This Row],[Namn]],Blad3!H:H,Blad3!L:L)</f>
        <v>0</v>
      </c>
    </row>
    <row r="62" spans="1:25" x14ac:dyDescent="0.25">
      <c r="A62" s="15">
        <f>Tabell4[[#This Row],[RANK MATCHER]]</f>
        <v>47</v>
      </c>
      <c r="B62" s="11" t="s">
        <v>81</v>
      </c>
      <c r="C62" s="12">
        <f>SUMIF('ALLA ÅR'!B:B,Tabell4[[#This Row],[Namn]],'ALLA ÅR'!C:C)</f>
        <v>30</v>
      </c>
      <c r="D62" s="12">
        <f>SUMIF('ALLA ÅR'!B:B,Tabell4[[#This Row],[Namn]],'ALLA ÅR'!E:E)</f>
        <v>2</v>
      </c>
      <c r="E62" s="12">
        <f>SUMIF('ALLA ÅR'!B:B,Tabell4[[#This Row],[Namn]],'ALLA ÅR'!F:F)</f>
        <v>0</v>
      </c>
      <c r="F62" s="12">
        <f>SUMIF('ALLA ÅR'!B:B,Tabell4[[#This Row],[Namn]],'ALLA ÅR'!G:G)</f>
        <v>1</v>
      </c>
      <c r="G62" s="12">
        <f>VLOOKUP(Tabell4[[#This Row],[Namn]],'ALLA ÅR'!B:J,9,0)</f>
        <v>2022</v>
      </c>
      <c r="H62" s="12">
        <f>COUNTIF('ALLA ÅR'!B:B,Tabell4[[#This Row],[Namn]])</f>
        <v>2</v>
      </c>
      <c r="I62" s="12">
        <f>VLOOKUP(Tabell4[[#This Row],[Namn]],'ALLA ÅR'!B:L,11,0)</f>
        <v>18</v>
      </c>
      <c r="J62" s="12">
        <f>RANK(Tabell4[[#This Row],[MÅL]],F:F)</f>
        <v>67</v>
      </c>
      <c r="K62" s="12">
        <f>RANK(Tabell4[[#This Row],[VAR]],D:D)</f>
        <v>19</v>
      </c>
      <c r="L62" s="12">
        <f>RANK(Tabell4[[#This Row],[MAT]],C:C)</f>
        <v>47</v>
      </c>
      <c r="M62" s="14">
        <f>Tabell4[[#This Row],[MAT]]/Tabell4[[#This Row],[ANTAL MATCHER]]</f>
        <v>0.75</v>
      </c>
      <c r="N62" s="12">
        <f>SUMIF('ALLA ÅR'!B:B,Tabell4[[#This Row],[Namn]],'ALLA ÅR'!H:H)</f>
        <v>40</v>
      </c>
      <c r="O62" s="12">
        <f>(Tabell4[[#This Row],[UTV]]*2)+Tabell4[[#This Row],[VAR]]</f>
        <v>2</v>
      </c>
      <c r="P62" s="12">
        <f>COUNTIF('100%'!B:B,Tabell4[[#This Row],[Namn]])</f>
        <v>0</v>
      </c>
      <c r="Q62" s="12">
        <f>_xlfn.XLOOKUP(Tabell4[[#This Row],[Namn]],Blad3!A:A,Blad3!B:B)</f>
        <v>0</v>
      </c>
      <c r="R62" s="12">
        <f>_xlfn.XLOOKUP(Tabell4[[#This Row],[Namn]],Blad3!A:A,Blad3!C:C)</f>
        <v>30</v>
      </c>
      <c r="S62" s="12">
        <f>_xlfn.XLOOKUP(Tabell4[[#This Row],[Namn]],Blad3!A:A,Blad3!D:D)</f>
        <v>0</v>
      </c>
      <c r="T62" s="12">
        <f>_xlfn.XLOOKUP(Tabell4[[#This Row],[Namn]],Blad3!A:A,Blad3!E:E)</f>
        <v>0</v>
      </c>
      <c r="U62" s="12">
        <f>RANK(Tabell4[[#This Row],[SÄS]],Tabell4[SÄS])</f>
        <v>61</v>
      </c>
      <c r="V62" s="12">
        <f>_xlfn.XLOOKUP(Tabell4[[#This Row],[Namn]],Blad3!H:H,Blad3!I:I)</f>
        <v>0</v>
      </c>
      <c r="W62" s="12">
        <f>_xlfn.XLOOKUP(Tabell4[[#This Row],[Namn]],Blad3!H:H,Blad3!J:J)</f>
        <v>1</v>
      </c>
      <c r="X62" s="12">
        <f>_xlfn.XLOOKUP(Tabell4[[#This Row],[Namn]],Blad3!H:H,Blad3!K:K)</f>
        <v>0</v>
      </c>
      <c r="Y62" s="12">
        <f>_xlfn.XLOOKUP(Tabell4[[#This Row],[Namn]],Blad3!H:H,Blad3!L:L)</f>
        <v>0</v>
      </c>
    </row>
    <row r="63" spans="1:25" x14ac:dyDescent="0.25">
      <c r="A63" s="15">
        <f>Tabell4[[#This Row],[RANK MATCHER]]</f>
        <v>49</v>
      </c>
      <c r="B63" s="11" t="s">
        <v>32</v>
      </c>
      <c r="C63" s="12">
        <f>SUMIF('ALLA ÅR'!B:B,Tabell4[[#This Row],[Namn]],'ALLA ÅR'!C:C)</f>
        <v>29</v>
      </c>
      <c r="D63" s="12">
        <f>SUMIF('ALLA ÅR'!B:B,Tabell4[[#This Row],[Namn]],'ALLA ÅR'!E:E)</f>
        <v>12</v>
      </c>
      <c r="E63" s="12">
        <f>SUMIF('ALLA ÅR'!B:B,Tabell4[[#This Row],[Namn]],'ALLA ÅR'!F:F)</f>
        <v>0</v>
      </c>
      <c r="F63" s="12">
        <f>SUMIF('ALLA ÅR'!B:B,Tabell4[[#This Row],[Namn]],'ALLA ÅR'!G:G)</f>
        <v>6</v>
      </c>
      <c r="G63" s="12">
        <f>VLOOKUP(Tabell4[[#This Row],[Namn]],'ALLA ÅR'!B:J,9,0)</f>
        <v>2026</v>
      </c>
      <c r="H63" s="12">
        <f>COUNTIF('ALLA ÅR'!B:B,Tabell4[[#This Row],[Namn]])</f>
        <v>2</v>
      </c>
      <c r="I63" s="12">
        <f>VLOOKUP(Tabell4[[#This Row],[Namn]],'ALLA ÅR'!B:L,11,0)</f>
        <v>23</v>
      </c>
      <c r="J63" s="12">
        <f>RANK(Tabell4[[#This Row],[MÅL]],F:F)</f>
        <v>31</v>
      </c>
      <c r="K63" s="12">
        <f>RANK(Tabell4[[#This Row],[VAR]],D:D)</f>
        <v>1</v>
      </c>
      <c r="L63" s="12">
        <f>RANK(Tabell4[[#This Row],[MAT]],C:C)</f>
        <v>49</v>
      </c>
      <c r="M63" s="14">
        <f>Tabell4[[#This Row],[MAT]]/Tabell4[[#This Row],[ANTAL MATCHER]]</f>
        <v>0.87878787878787878</v>
      </c>
      <c r="N63" s="12">
        <f>SUMIF('ALLA ÅR'!B:B,Tabell4[[#This Row],[Namn]],'ALLA ÅR'!H:H)</f>
        <v>33</v>
      </c>
      <c r="O63" s="12">
        <f>(Tabell4[[#This Row],[UTV]]*2)+Tabell4[[#This Row],[VAR]]</f>
        <v>12</v>
      </c>
      <c r="P63" s="12">
        <f>COUNTIF('100%'!B:B,Tabell4[[#This Row],[Namn]])</f>
        <v>0</v>
      </c>
      <c r="Q63" s="12">
        <f>_xlfn.XLOOKUP(Tabell4[[#This Row],[Namn]],Blad3!A:A,Blad3!B:B)</f>
        <v>0</v>
      </c>
      <c r="R63" s="12">
        <f>_xlfn.XLOOKUP(Tabell4[[#This Row],[Namn]],Blad3!A:A,Blad3!C:C)</f>
        <v>25</v>
      </c>
      <c r="S63" s="12">
        <f>_xlfn.XLOOKUP(Tabell4[[#This Row],[Namn]],Blad3!A:A,Blad3!D:D)</f>
        <v>0</v>
      </c>
      <c r="T63" s="12">
        <f>_xlfn.XLOOKUP(Tabell4[[#This Row],[Namn]],Blad3!A:A,Blad3!E:E)</f>
        <v>4</v>
      </c>
      <c r="U63" s="12">
        <f>RANK(Tabell4[[#This Row],[SÄS]],Tabell4[SÄS])</f>
        <v>61</v>
      </c>
      <c r="V63" s="12">
        <f>_xlfn.XLOOKUP(Tabell4[[#This Row],[Namn]],Blad3!H:H,Blad3!I:I)</f>
        <v>0</v>
      </c>
      <c r="W63" s="12">
        <f>_xlfn.XLOOKUP(Tabell4[[#This Row],[Namn]],Blad3!H:H,Blad3!J:J)</f>
        <v>5</v>
      </c>
      <c r="X63" s="12">
        <f>_xlfn.XLOOKUP(Tabell4[[#This Row],[Namn]],Blad3!H:H,Blad3!K:K)</f>
        <v>0</v>
      </c>
      <c r="Y63" s="12">
        <f>_xlfn.XLOOKUP(Tabell4[[#This Row],[Namn]],Blad3!H:H,Blad3!L:L)</f>
        <v>1</v>
      </c>
    </row>
    <row r="64" spans="1:25" x14ac:dyDescent="0.25">
      <c r="A64" s="15">
        <f>Tabell4[[#This Row],[RANK MATCHER]]</f>
        <v>49</v>
      </c>
      <c r="B64" s="11" t="s">
        <v>191</v>
      </c>
      <c r="C64" s="12">
        <f>SUMIF('ALLA ÅR'!B:B,Tabell4[[#This Row],[Namn]],'ALLA ÅR'!C:C)</f>
        <v>29</v>
      </c>
      <c r="D64" s="12">
        <f>SUMIF('ALLA ÅR'!B:B,Tabell4[[#This Row],[Namn]],'ALLA ÅR'!E:E)</f>
        <v>2</v>
      </c>
      <c r="E64" s="12">
        <f>SUMIF('ALLA ÅR'!B:B,Tabell4[[#This Row],[Namn]],'ALLA ÅR'!F:F)</f>
        <v>0</v>
      </c>
      <c r="F64" s="12">
        <f>SUMIF('ALLA ÅR'!B:B,Tabell4[[#This Row],[Namn]],'ALLA ÅR'!G:G)</f>
        <v>1</v>
      </c>
      <c r="G64" s="12">
        <f>VLOOKUP(Tabell4[[#This Row],[Namn]],'ALLA ÅR'!B:J,9,0)</f>
        <v>2011</v>
      </c>
      <c r="H64" s="12">
        <f>COUNTIF('ALLA ÅR'!B:B,Tabell4[[#This Row],[Namn]])</f>
        <v>2</v>
      </c>
      <c r="I64" s="12">
        <f>VLOOKUP(Tabell4[[#This Row],[Namn]],'ALLA ÅR'!B:L,11,0)</f>
        <v>20</v>
      </c>
      <c r="J64" s="12">
        <f>RANK(Tabell4[[#This Row],[MÅL]],F:F)</f>
        <v>67</v>
      </c>
      <c r="K64" s="12">
        <f>RANK(Tabell4[[#This Row],[VAR]],D:D)</f>
        <v>19</v>
      </c>
      <c r="L64" s="12">
        <f>RANK(Tabell4[[#This Row],[MAT]],C:C)</f>
        <v>49</v>
      </c>
      <c r="M64" s="14">
        <f>Tabell4[[#This Row],[MAT]]/Tabell4[[#This Row],[ANTAL MATCHER]]</f>
        <v>0.63043478260869568</v>
      </c>
      <c r="N64" s="12">
        <f>SUMIF('ALLA ÅR'!B:B,Tabell4[[#This Row],[Namn]],'ALLA ÅR'!H:H)</f>
        <v>46</v>
      </c>
      <c r="O64" s="12">
        <f>(Tabell4[[#This Row],[UTV]]*2)+Tabell4[[#This Row],[VAR]]</f>
        <v>2</v>
      </c>
      <c r="P64" s="12">
        <f>COUNTIF('100%'!B:B,Tabell4[[#This Row],[Namn]])</f>
        <v>0</v>
      </c>
      <c r="Q64" s="12">
        <f>_xlfn.XLOOKUP(Tabell4[[#This Row],[Namn]],Blad3!A:A,Blad3!B:B)</f>
        <v>0</v>
      </c>
      <c r="R64" s="12">
        <f>_xlfn.XLOOKUP(Tabell4[[#This Row],[Namn]],Blad3!A:A,Blad3!C:C)</f>
        <v>0</v>
      </c>
      <c r="S64" s="12">
        <f>_xlfn.XLOOKUP(Tabell4[[#This Row],[Namn]],Blad3!A:A,Blad3!D:D)</f>
        <v>29</v>
      </c>
      <c r="T64" s="12">
        <f>_xlfn.XLOOKUP(Tabell4[[#This Row],[Namn]],Blad3!A:A,Blad3!E:E)</f>
        <v>0</v>
      </c>
      <c r="U64" s="12">
        <f>RANK(Tabell4[[#This Row],[SÄS]],Tabell4[SÄS])</f>
        <v>61</v>
      </c>
      <c r="V64" s="12">
        <f>_xlfn.XLOOKUP(Tabell4[[#This Row],[Namn]],Blad3!H:H,Blad3!I:I)</f>
        <v>0</v>
      </c>
      <c r="W64" s="12">
        <f>_xlfn.XLOOKUP(Tabell4[[#This Row],[Namn]],Blad3!H:H,Blad3!J:J)</f>
        <v>0</v>
      </c>
      <c r="X64" s="12">
        <f>_xlfn.XLOOKUP(Tabell4[[#This Row],[Namn]],Blad3!H:H,Blad3!K:K)</f>
        <v>1</v>
      </c>
      <c r="Y64" s="12">
        <f>_xlfn.XLOOKUP(Tabell4[[#This Row],[Namn]],Blad3!H:H,Blad3!L:L)</f>
        <v>0</v>
      </c>
    </row>
    <row r="65" spans="1:25" x14ac:dyDescent="0.25">
      <c r="A65" s="15">
        <f>Tabell4[[#This Row],[RANK MATCHER]]</f>
        <v>51</v>
      </c>
      <c r="B65" s="11" t="s">
        <v>162</v>
      </c>
      <c r="C65" s="12">
        <f>SUMIF('ALLA ÅR'!B:B,Tabell4[[#This Row],[Namn]],'ALLA ÅR'!C:C)</f>
        <v>28</v>
      </c>
      <c r="D65" s="12">
        <f>SUMIF('ALLA ÅR'!B:B,Tabell4[[#This Row],[Namn]],'ALLA ÅR'!E:E)</f>
        <v>0</v>
      </c>
      <c r="E65" s="12">
        <f>SUMIF('ALLA ÅR'!B:B,Tabell4[[#This Row],[Namn]],'ALLA ÅR'!F:F)</f>
        <v>0</v>
      </c>
      <c r="F65" s="12">
        <f>SUMIF('ALLA ÅR'!B:B,Tabell4[[#This Row],[Namn]],'ALLA ÅR'!G:G)</f>
        <v>3</v>
      </c>
      <c r="G65" s="12">
        <f>VLOOKUP(Tabell4[[#This Row],[Namn]],'ALLA ÅR'!B:J,9,0)</f>
        <v>2015</v>
      </c>
      <c r="H65" s="12">
        <f>COUNTIF('ALLA ÅR'!B:B,Tabell4[[#This Row],[Namn]])</f>
        <v>3</v>
      </c>
      <c r="I65" s="12">
        <f>VLOOKUP(Tabell4[[#This Row],[Namn]],'ALLA ÅR'!B:L,11,0)</f>
        <v>20</v>
      </c>
      <c r="J65" s="12">
        <f>RANK(Tabell4[[#This Row],[MÅL]],F:F)</f>
        <v>49</v>
      </c>
      <c r="K65" s="12">
        <f>RANK(Tabell4[[#This Row],[VAR]],D:D)</f>
        <v>54</v>
      </c>
      <c r="L65" s="12">
        <f>RANK(Tabell4[[#This Row],[MAT]],C:C)</f>
        <v>51</v>
      </c>
      <c r="M65" s="14">
        <f>Tabell4[[#This Row],[MAT]]/Tabell4[[#This Row],[ANTAL MATCHER]]</f>
        <v>0.52830188679245282</v>
      </c>
      <c r="N65" s="12">
        <f>SUMIF('ALLA ÅR'!B:B,Tabell4[[#This Row],[Namn]],'ALLA ÅR'!H:H)</f>
        <v>53</v>
      </c>
      <c r="O65" s="12">
        <f>(Tabell4[[#This Row],[UTV]]*2)+Tabell4[[#This Row],[VAR]]</f>
        <v>0</v>
      </c>
      <c r="P65" s="12">
        <f>COUNTIF('100%'!B:B,Tabell4[[#This Row],[Namn]])</f>
        <v>0</v>
      </c>
      <c r="Q65" s="12">
        <f>_xlfn.XLOOKUP(Tabell4[[#This Row],[Namn]],Blad3!A:A,Blad3!B:B)</f>
        <v>0</v>
      </c>
      <c r="R65" s="12">
        <f>_xlfn.XLOOKUP(Tabell4[[#This Row],[Namn]],Blad3!A:A,Blad3!C:C)</f>
        <v>0</v>
      </c>
      <c r="S65" s="12">
        <f>_xlfn.XLOOKUP(Tabell4[[#This Row],[Namn]],Blad3!A:A,Blad3!D:D)</f>
        <v>0</v>
      </c>
      <c r="T65" s="12">
        <f>_xlfn.XLOOKUP(Tabell4[[#This Row],[Namn]],Blad3!A:A,Blad3!E:E)</f>
        <v>28</v>
      </c>
      <c r="U65" s="12">
        <f>RANK(Tabell4[[#This Row],[SÄS]],Tabell4[SÄS])</f>
        <v>33</v>
      </c>
      <c r="V65" s="12">
        <f>_xlfn.XLOOKUP(Tabell4[[#This Row],[Namn]],Blad3!H:H,Blad3!I:I)</f>
        <v>0</v>
      </c>
      <c r="W65" s="12">
        <f>_xlfn.XLOOKUP(Tabell4[[#This Row],[Namn]],Blad3!H:H,Blad3!J:J)</f>
        <v>0</v>
      </c>
      <c r="X65" s="12">
        <f>_xlfn.XLOOKUP(Tabell4[[#This Row],[Namn]],Blad3!H:H,Blad3!K:K)</f>
        <v>0</v>
      </c>
      <c r="Y65" s="12">
        <f>_xlfn.XLOOKUP(Tabell4[[#This Row],[Namn]],Blad3!H:H,Blad3!L:L)</f>
        <v>3</v>
      </c>
    </row>
    <row r="66" spans="1:25" x14ac:dyDescent="0.25">
      <c r="A66" s="15">
        <f>Tabell4[[#This Row],[RANK MATCHER]]</f>
        <v>51</v>
      </c>
      <c r="B66" s="11" t="s">
        <v>169</v>
      </c>
      <c r="C66" s="12">
        <f>SUMIF('ALLA ÅR'!B:B,Tabell4[[#This Row],[Namn]],'ALLA ÅR'!C:C)</f>
        <v>28</v>
      </c>
      <c r="D66" s="12">
        <f>SUMIF('ALLA ÅR'!B:B,Tabell4[[#This Row],[Namn]],'ALLA ÅR'!E:E)</f>
        <v>0</v>
      </c>
      <c r="E66" s="12">
        <f>SUMIF('ALLA ÅR'!B:B,Tabell4[[#This Row],[Namn]],'ALLA ÅR'!F:F)</f>
        <v>0</v>
      </c>
      <c r="F66" s="12">
        <f>SUMIF('ALLA ÅR'!B:B,Tabell4[[#This Row],[Namn]],'ALLA ÅR'!G:G)</f>
        <v>9</v>
      </c>
      <c r="G66" s="12">
        <f>VLOOKUP(Tabell4[[#This Row],[Namn]],'ALLA ÅR'!B:J,9,0)</f>
        <v>2014</v>
      </c>
      <c r="H66" s="12">
        <f>COUNTIF('ALLA ÅR'!B:B,Tabell4[[#This Row],[Namn]])</f>
        <v>3</v>
      </c>
      <c r="I66" s="12">
        <f>VLOOKUP(Tabell4[[#This Row],[Namn]],'ALLA ÅR'!B:L,11,0)</f>
        <v>18</v>
      </c>
      <c r="J66" s="12">
        <f>RANK(Tabell4[[#This Row],[MÅL]],F:F)</f>
        <v>25</v>
      </c>
      <c r="K66" s="12">
        <f>RANK(Tabell4[[#This Row],[VAR]],D:D)</f>
        <v>54</v>
      </c>
      <c r="L66" s="12">
        <f>RANK(Tabell4[[#This Row],[MAT]],C:C)</f>
        <v>51</v>
      </c>
      <c r="M66" s="14">
        <f>Tabell4[[#This Row],[MAT]]/Tabell4[[#This Row],[ANTAL MATCHER]]</f>
        <v>0.58333333333333337</v>
      </c>
      <c r="N66" s="12">
        <f>SUMIF('ALLA ÅR'!B:B,Tabell4[[#This Row],[Namn]],'ALLA ÅR'!H:H)</f>
        <v>48</v>
      </c>
      <c r="O66" s="12">
        <f>(Tabell4[[#This Row],[UTV]]*2)+Tabell4[[#This Row],[VAR]]</f>
        <v>0</v>
      </c>
      <c r="P66" s="12">
        <f>COUNTIF('100%'!B:B,Tabell4[[#This Row],[Namn]])</f>
        <v>0</v>
      </c>
      <c r="Q66" s="12">
        <f>_xlfn.XLOOKUP(Tabell4[[#This Row],[Namn]],Blad3!A:A,Blad3!B:B)</f>
        <v>0</v>
      </c>
      <c r="R66" s="12">
        <f>_xlfn.XLOOKUP(Tabell4[[#This Row],[Namn]],Blad3!A:A,Blad3!C:C)</f>
        <v>0</v>
      </c>
      <c r="S66" s="12">
        <f>_xlfn.XLOOKUP(Tabell4[[#This Row],[Namn]],Blad3!A:A,Blad3!D:D)</f>
        <v>0</v>
      </c>
      <c r="T66" s="12">
        <f>_xlfn.XLOOKUP(Tabell4[[#This Row],[Namn]],Blad3!A:A,Blad3!E:E)</f>
        <v>28</v>
      </c>
      <c r="U66" s="12">
        <f>RANK(Tabell4[[#This Row],[SÄS]],Tabell4[SÄS])</f>
        <v>33</v>
      </c>
      <c r="V66" s="12">
        <f>_xlfn.XLOOKUP(Tabell4[[#This Row],[Namn]],Blad3!H:H,Blad3!I:I)</f>
        <v>0</v>
      </c>
      <c r="W66" s="12">
        <f>_xlfn.XLOOKUP(Tabell4[[#This Row],[Namn]],Blad3!H:H,Blad3!J:J)</f>
        <v>0</v>
      </c>
      <c r="X66" s="12">
        <f>_xlfn.XLOOKUP(Tabell4[[#This Row],[Namn]],Blad3!H:H,Blad3!K:K)</f>
        <v>0</v>
      </c>
      <c r="Y66" s="12">
        <f>_xlfn.XLOOKUP(Tabell4[[#This Row],[Namn]],Blad3!H:H,Blad3!L:L)</f>
        <v>9</v>
      </c>
    </row>
    <row r="67" spans="1:25" x14ac:dyDescent="0.25">
      <c r="A67" s="15">
        <f>Tabell4[[#This Row],[RANK MATCHER]]</f>
        <v>53</v>
      </c>
      <c r="B67" s="11" t="s">
        <v>57</v>
      </c>
      <c r="C67" s="12">
        <f>SUMIF('ALLA ÅR'!B:B,Tabell4[[#This Row],[Namn]],'ALLA ÅR'!C:C)</f>
        <v>27</v>
      </c>
      <c r="D67" s="12">
        <f>SUMIF('ALLA ÅR'!B:B,Tabell4[[#This Row],[Namn]],'ALLA ÅR'!E:E)</f>
        <v>0</v>
      </c>
      <c r="E67" s="12">
        <f>SUMIF('ALLA ÅR'!B:B,Tabell4[[#This Row],[Namn]],'ALLA ÅR'!F:F)</f>
        <v>0</v>
      </c>
      <c r="F67" s="12">
        <f>SUMIF('ALLA ÅR'!B:B,Tabell4[[#This Row],[Namn]],'ALLA ÅR'!G:G)</f>
        <v>4</v>
      </c>
      <c r="G67" s="12">
        <f>VLOOKUP(Tabell4[[#This Row],[Namn]],'ALLA ÅR'!B:J,9,0)</f>
        <v>2024</v>
      </c>
      <c r="H67" s="12">
        <f>COUNTIF('ALLA ÅR'!B:B,Tabell4[[#This Row],[Namn]])</f>
        <v>1</v>
      </c>
      <c r="I67" s="12">
        <f>VLOOKUP(Tabell4[[#This Row],[Namn]],'ALLA ÅR'!B:L,11,0)</f>
        <v>18</v>
      </c>
      <c r="J67" s="12">
        <f>RANK(Tabell4[[#This Row],[MÅL]],F:F)</f>
        <v>41</v>
      </c>
      <c r="K67" s="12">
        <f>RANK(Tabell4[[#This Row],[VAR]],D:D)</f>
        <v>54</v>
      </c>
      <c r="L67" s="12">
        <f>RANK(Tabell4[[#This Row],[MAT]],C:C)</f>
        <v>53</v>
      </c>
      <c r="M67" s="14">
        <f>Tabell4[[#This Row],[MAT]]/Tabell4[[#This Row],[ANTAL MATCHER]]</f>
        <v>0.93103448275862066</v>
      </c>
      <c r="N67" s="12">
        <f>SUMIF('ALLA ÅR'!B:B,Tabell4[[#This Row],[Namn]],'ALLA ÅR'!H:H)</f>
        <v>29</v>
      </c>
      <c r="O67" s="12">
        <f>(Tabell4[[#This Row],[UTV]]*2)+Tabell4[[#This Row],[VAR]]</f>
        <v>0</v>
      </c>
      <c r="P67" s="12">
        <f>COUNTIF('100%'!B:B,Tabell4[[#This Row],[Namn]])</f>
        <v>0</v>
      </c>
      <c r="Q67" s="12">
        <f>_xlfn.XLOOKUP(Tabell4[[#This Row],[Namn]],Blad3!A:A,Blad3!B:B)</f>
        <v>0</v>
      </c>
      <c r="R67" s="12">
        <f>_xlfn.XLOOKUP(Tabell4[[#This Row],[Namn]],Blad3!A:A,Blad3!C:C)</f>
        <v>27</v>
      </c>
      <c r="S67" s="12">
        <f>_xlfn.XLOOKUP(Tabell4[[#This Row],[Namn]],Blad3!A:A,Blad3!D:D)</f>
        <v>0</v>
      </c>
      <c r="T67" s="12">
        <f>_xlfn.XLOOKUP(Tabell4[[#This Row],[Namn]],Blad3!A:A,Blad3!E:E)</f>
        <v>0</v>
      </c>
      <c r="U67" s="12">
        <f>RANK(Tabell4[[#This Row],[SÄS]],Tabell4[SÄS])</f>
        <v>114</v>
      </c>
      <c r="V67" s="12">
        <f>_xlfn.XLOOKUP(Tabell4[[#This Row],[Namn]],Blad3!H:H,Blad3!I:I)</f>
        <v>0</v>
      </c>
      <c r="W67" s="12">
        <f>_xlfn.XLOOKUP(Tabell4[[#This Row],[Namn]],Blad3!H:H,Blad3!J:J)</f>
        <v>4</v>
      </c>
      <c r="X67" s="12">
        <f>_xlfn.XLOOKUP(Tabell4[[#This Row],[Namn]],Blad3!H:H,Blad3!K:K)</f>
        <v>0</v>
      </c>
      <c r="Y67" s="12">
        <f>_xlfn.XLOOKUP(Tabell4[[#This Row],[Namn]],Blad3!H:H,Blad3!L:L)</f>
        <v>0</v>
      </c>
    </row>
    <row r="68" spans="1:25" x14ac:dyDescent="0.25">
      <c r="A68" s="15">
        <f>Tabell4[[#This Row],[RANK MATCHER]]</f>
        <v>53</v>
      </c>
      <c r="B68" s="11" t="s">
        <v>86</v>
      </c>
      <c r="C68" s="12">
        <f>SUMIF('ALLA ÅR'!B:B,Tabell4[[#This Row],[Namn]],'ALLA ÅR'!C:C)</f>
        <v>27</v>
      </c>
      <c r="D68" s="12">
        <f>SUMIF('ALLA ÅR'!B:B,Tabell4[[#This Row],[Namn]],'ALLA ÅR'!E:E)</f>
        <v>0</v>
      </c>
      <c r="E68" s="12">
        <f>SUMIF('ALLA ÅR'!B:B,Tabell4[[#This Row],[Namn]],'ALLA ÅR'!F:F)</f>
        <v>0</v>
      </c>
      <c r="F68" s="12">
        <f>SUMIF('ALLA ÅR'!B:B,Tabell4[[#This Row],[Namn]],'ALLA ÅR'!G:G)</f>
        <v>1</v>
      </c>
      <c r="G68" s="12">
        <f>VLOOKUP(Tabell4[[#This Row],[Namn]],'ALLA ÅR'!B:J,9,0)</f>
        <v>2022</v>
      </c>
      <c r="H68" s="12">
        <f>COUNTIF('ALLA ÅR'!B:B,Tabell4[[#This Row],[Namn]])</f>
        <v>5</v>
      </c>
      <c r="I68" s="12">
        <f>VLOOKUP(Tabell4[[#This Row],[Namn]],'ALLA ÅR'!B:L,11,0)</f>
        <v>19</v>
      </c>
      <c r="J68" s="12">
        <f>RANK(Tabell4[[#This Row],[MÅL]],F:F)</f>
        <v>67</v>
      </c>
      <c r="K68" s="12">
        <f>RANK(Tabell4[[#This Row],[VAR]],D:D)</f>
        <v>54</v>
      </c>
      <c r="L68" s="12">
        <f>RANK(Tabell4[[#This Row],[MAT]],C:C)</f>
        <v>53</v>
      </c>
      <c r="M68" s="14">
        <f>Tabell4[[#This Row],[MAT]]/Tabell4[[#This Row],[ANTAL MATCHER]]</f>
        <v>0.29347826086956524</v>
      </c>
      <c r="N68" s="12">
        <f>SUMIF('ALLA ÅR'!B:B,Tabell4[[#This Row],[Namn]],'ALLA ÅR'!H:H)</f>
        <v>92</v>
      </c>
      <c r="O68" s="12">
        <f>(Tabell4[[#This Row],[UTV]]*2)+Tabell4[[#This Row],[VAR]]</f>
        <v>0</v>
      </c>
      <c r="P68" s="12">
        <f>COUNTIF('100%'!B:B,Tabell4[[#This Row],[Namn]])</f>
        <v>0</v>
      </c>
      <c r="Q68" s="12">
        <f>_xlfn.XLOOKUP(Tabell4[[#This Row],[Namn]],Blad3!A:A,Blad3!B:B)</f>
        <v>1</v>
      </c>
      <c r="R68" s="12">
        <f>_xlfn.XLOOKUP(Tabell4[[#This Row],[Namn]],Blad3!A:A,Blad3!C:C)</f>
        <v>25</v>
      </c>
      <c r="S68" s="12">
        <f>_xlfn.XLOOKUP(Tabell4[[#This Row],[Namn]],Blad3!A:A,Blad3!D:D)</f>
        <v>1</v>
      </c>
      <c r="T68" s="12">
        <f>_xlfn.XLOOKUP(Tabell4[[#This Row],[Namn]],Blad3!A:A,Blad3!E:E)</f>
        <v>0</v>
      </c>
      <c r="U68" s="12">
        <f>RANK(Tabell4[[#This Row],[SÄS]],Tabell4[SÄS])</f>
        <v>10</v>
      </c>
      <c r="V68" s="12">
        <f>_xlfn.XLOOKUP(Tabell4[[#This Row],[Namn]],Blad3!H:H,Blad3!I:I)</f>
        <v>0</v>
      </c>
      <c r="W68" s="12">
        <f>_xlfn.XLOOKUP(Tabell4[[#This Row],[Namn]],Blad3!H:H,Blad3!J:J)</f>
        <v>1</v>
      </c>
      <c r="X68" s="12">
        <f>_xlfn.XLOOKUP(Tabell4[[#This Row],[Namn]],Blad3!H:H,Blad3!K:K)</f>
        <v>0</v>
      </c>
      <c r="Y68" s="12">
        <f>_xlfn.XLOOKUP(Tabell4[[#This Row],[Namn]],Blad3!H:H,Blad3!L:L)</f>
        <v>0</v>
      </c>
    </row>
    <row r="69" spans="1:25" x14ac:dyDescent="0.25">
      <c r="A69" s="15">
        <f>Tabell4[[#This Row],[RANK MATCHER]]</f>
        <v>53</v>
      </c>
      <c r="B69" s="11" t="s">
        <v>188</v>
      </c>
      <c r="C69" s="12">
        <f>SUMIF('ALLA ÅR'!B:B,Tabell4[[#This Row],[Namn]],'ALLA ÅR'!C:C)</f>
        <v>27</v>
      </c>
      <c r="D69" s="12">
        <f>SUMIF('ALLA ÅR'!B:B,Tabell4[[#This Row],[Namn]],'ALLA ÅR'!E:E)</f>
        <v>3</v>
      </c>
      <c r="E69" s="12">
        <f>SUMIF('ALLA ÅR'!B:B,Tabell4[[#This Row],[Namn]],'ALLA ÅR'!F:F)</f>
        <v>0</v>
      </c>
      <c r="F69" s="12">
        <f>SUMIF('ALLA ÅR'!B:B,Tabell4[[#This Row],[Namn]],'ALLA ÅR'!G:G)</f>
        <v>3</v>
      </c>
      <c r="G69" s="12">
        <f>VLOOKUP(Tabell4[[#This Row],[Namn]],'ALLA ÅR'!B:J,9,0)</f>
        <v>2011</v>
      </c>
      <c r="H69" s="12">
        <f>COUNTIF('ALLA ÅR'!B:B,Tabell4[[#This Row],[Namn]])</f>
        <v>2</v>
      </c>
      <c r="I69" s="12">
        <f>VLOOKUP(Tabell4[[#This Row],[Namn]],'ALLA ÅR'!B:L,11,0)</f>
        <v>22</v>
      </c>
      <c r="J69" s="12">
        <f>RANK(Tabell4[[#This Row],[MÅL]],F:F)</f>
        <v>49</v>
      </c>
      <c r="K69" s="12">
        <f>RANK(Tabell4[[#This Row],[VAR]],D:D)</f>
        <v>10</v>
      </c>
      <c r="L69" s="12">
        <f>RANK(Tabell4[[#This Row],[MAT]],C:C)</f>
        <v>53</v>
      </c>
      <c r="M69" s="14">
        <f>Tabell4[[#This Row],[MAT]]/Tabell4[[#This Row],[ANTAL MATCHER]]</f>
        <v>0.58695652173913049</v>
      </c>
      <c r="N69" s="12">
        <f>SUMIF('ALLA ÅR'!B:B,Tabell4[[#This Row],[Namn]],'ALLA ÅR'!H:H)</f>
        <v>46</v>
      </c>
      <c r="O69" s="12">
        <f>(Tabell4[[#This Row],[UTV]]*2)+Tabell4[[#This Row],[VAR]]</f>
        <v>3</v>
      </c>
      <c r="P69" s="12">
        <f>COUNTIF('100%'!B:B,Tabell4[[#This Row],[Namn]])</f>
        <v>0</v>
      </c>
      <c r="Q69" s="12">
        <f>_xlfn.XLOOKUP(Tabell4[[#This Row],[Namn]],Blad3!A:A,Blad3!B:B)</f>
        <v>0</v>
      </c>
      <c r="R69" s="12">
        <f>_xlfn.XLOOKUP(Tabell4[[#This Row],[Namn]],Blad3!A:A,Blad3!C:C)</f>
        <v>0</v>
      </c>
      <c r="S69" s="12">
        <f>_xlfn.XLOOKUP(Tabell4[[#This Row],[Namn]],Blad3!A:A,Blad3!D:D)</f>
        <v>27</v>
      </c>
      <c r="T69" s="12">
        <f>_xlfn.XLOOKUP(Tabell4[[#This Row],[Namn]],Blad3!A:A,Blad3!E:E)</f>
        <v>0</v>
      </c>
      <c r="U69" s="12">
        <f>RANK(Tabell4[[#This Row],[SÄS]],Tabell4[SÄS])</f>
        <v>61</v>
      </c>
      <c r="V69" s="12">
        <f>_xlfn.XLOOKUP(Tabell4[[#This Row],[Namn]],Blad3!H:H,Blad3!I:I)</f>
        <v>0</v>
      </c>
      <c r="W69" s="12">
        <f>_xlfn.XLOOKUP(Tabell4[[#This Row],[Namn]],Blad3!H:H,Blad3!J:J)</f>
        <v>0</v>
      </c>
      <c r="X69" s="12">
        <f>_xlfn.XLOOKUP(Tabell4[[#This Row],[Namn]],Blad3!H:H,Blad3!K:K)</f>
        <v>3</v>
      </c>
      <c r="Y69" s="12">
        <f>_xlfn.XLOOKUP(Tabell4[[#This Row],[Namn]],Blad3!H:H,Blad3!L:L)</f>
        <v>0</v>
      </c>
    </row>
    <row r="70" spans="1:25" x14ac:dyDescent="0.25">
      <c r="A70" s="15">
        <f>Tabell4[[#This Row],[RANK MATCHER]]</f>
        <v>56</v>
      </c>
      <c r="B70" s="11" t="s">
        <v>31</v>
      </c>
      <c r="C70" s="12">
        <f>SUMIF('ALLA ÅR'!B:B,Tabell4[[#This Row],[Namn]],'ALLA ÅR'!C:C)</f>
        <v>25</v>
      </c>
      <c r="D70" s="12">
        <f>SUMIF('ALLA ÅR'!B:B,Tabell4[[#This Row],[Namn]],'ALLA ÅR'!E:E)</f>
        <v>0</v>
      </c>
      <c r="E70" s="12">
        <f>SUMIF('ALLA ÅR'!B:B,Tabell4[[#This Row],[Namn]],'ALLA ÅR'!F:F)</f>
        <v>0</v>
      </c>
      <c r="F70" s="12">
        <f>SUMIF('ALLA ÅR'!B:B,Tabell4[[#This Row],[Namn]],'ALLA ÅR'!G:G)</f>
        <v>0</v>
      </c>
      <c r="G70" s="12">
        <f>VLOOKUP(Tabell4[[#This Row],[Namn]],'ALLA ÅR'!B:J,9,0)</f>
        <v>2026</v>
      </c>
      <c r="H70" s="12">
        <f>COUNTIF('ALLA ÅR'!B:B,Tabell4[[#This Row],[Namn]])</f>
        <v>3</v>
      </c>
      <c r="I70" s="12">
        <f>VLOOKUP(Tabell4[[#This Row],[Namn]],'ALLA ÅR'!B:L,11,0)</f>
        <v>41</v>
      </c>
      <c r="J70" s="12">
        <f>RANK(Tabell4[[#This Row],[MÅL]],F:F)</f>
        <v>107</v>
      </c>
      <c r="K70" s="12">
        <f>RANK(Tabell4[[#This Row],[VAR]],D:D)</f>
        <v>54</v>
      </c>
      <c r="L70" s="12">
        <f>RANK(Tabell4[[#This Row],[MAT]],C:C)</f>
        <v>56</v>
      </c>
      <c r="M70" s="14">
        <f>Tabell4[[#This Row],[MAT]]/Tabell4[[#This Row],[ANTAL MATCHER]]</f>
        <v>0.78125</v>
      </c>
      <c r="N70" s="12">
        <f>SUMIF('ALLA ÅR'!B:B,Tabell4[[#This Row],[Namn]],'ALLA ÅR'!H:H)</f>
        <v>32</v>
      </c>
      <c r="O70" s="12">
        <f>(Tabell4[[#This Row],[UTV]]*2)+Tabell4[[#This Row],[VAR]]</f>
        <v>0</v>
      </c>
      <c r="P70" s="12">
        <f>COUNTIF('100%'!B:B,Tabell4[[#This Row],[Namn]])</f>
        <v>0</v>
      </c>
      <c r="Q70" s="12">
        <f>_xlfn.XLOOKUP(Tabell4[[#This Row],[Namn]],Blad3!A:A,Blad3!B:B)</f>
        <v>4</v>
      </c>
      <c r="R70" s="12">
        <f>_xlfn.XLOOKUP(Tabell4[[#This Row],[Namn]],Blad3!A:A,Blad3!C:C)</f>
        <v>17</v>
      </c>
      <c r="S70" s="12">
        <f>_xlfn.XLOOKUP(Tabell4[[#This Row],[Namn]],Blad3!A:A,Blad3!D:D)</f>
        <v>0</v>
      </c>
      <c r="T70" s="12">
        <f>_xlfn.XLOOKUP(Tabell4[[#This Row],[Namn]],Blad3!A:A,Blad3!E:E)</f>
        <v>4</v>
      </c>
      <c r="U70" s="12">
        <f>RANK(Tabell4[[#This Row],[SÄS]],Tabell4[SÄS])</f>
        <v>33</v>
      </c>
      <c r="V70" s="12">
        <f>_xlfn.XLOOKUP(Tabell4[[#This Row],[Namn]],Blad3!H:H,Blad3!I:I)</f>
        <v>0</v>
      </c>
      <c r="W70" s="12">
        <f>_xlfn.XLOOKUP(Tabell4[[#This Row],[Namn]],Blad3!H:H,Blad3!J:J)</f>
        <v>0</v>
      </c>
      <c r="X70" s="12">
        <f>_xlfn.XLOOKUP(Tabell4[[#This Row],[Namn]],Blad3!H:H,Blad3!K:K)</f>
        <v>0</v>
      </c>
      <c r="Y70" s="12">
        <f>_xlfn.XLOOKUP(Tabell4[[#This Row],[Namn]],Blad3!H:H,Blad3!L:L)</f>
        <v>0</v>
      </c>
    </row>
    <row r="71" spans="1:25" x14ac:dyDescent="0.25">
      <c r="A71" s="15">
        <f>Tabell4[[#This Row],[RANK MATCHER]]</f>
        <v>56</v>
      </c>
      <c r="B71" s="11" t="s">
        <v>113</v>
      </c>
      <c r="C71" s="12">
        <f>SUMIF('ALLA ÅR'!B:B,Tabell4[[#This Row],[Namn]],'ALLA ÅR'!C:C)</f>
        <v>25</v>
      </c>
      <c r="D71" s="12">
        <f>SUMIF('ALLA ÅR'!B:B,Tabell4[[#This Row],[Namn]],'ALLA ÅR'!E:E)</f>
        <v>1</v>
      </c>
      <c r="E71" s="12">
        <f>SUMIF('ALLA ÅR'!B:B,Tabell4[[#This Row],[Namn]],'ALLA ÅR'!F:F)</f>
        <v>0</v>
      </c>
      <c r="F71" s="12">
        <f>SUMIF('ALLA ÅR'!B:B,Tabell4[[#This Row],[Namn]],'ALLA ÅR'!G:G)</f>
        <v>0</v>
      </c>
      <c r="G71" s="12">
        <f>VLOOKUP(Tabell4[[#This Row],[Namn]],'ALLA ÅR'!B:J,9,0)</f>
        <v>2018</v>
      </c>
      <c r="H71" s="12">
        <f>COUNTIF('ALLA ÅR'!B:B,Tabell4[[#This Row],[Namn]])</f>
        <v>2</v>
      </c>
      <c r="I71" s="12">
        <f>VLOOKUP(Tabell4[[#This Row],[Namn]],'ALLA ÅR'!B:L,11,0)</f>
        <v>24</v>
      </c>
      <c r="J71" s="12">
        <f>RANK(Tabell4[[#This Row],[MÅL]],F:F)</f>
        <v>107</v>
      </c>
      <c r="K71" s="12">
        <f>RANK(Tabell4[[#This Row],[VAR]],D:D)</f>
        <v>27</v>
      </c>
      <c r="L71" s="12">
        <f>RANK(Tabell4[[#This Row],[MAT]],C:C)</f>
        <v>56</v>
      </c>
      <c r="M71" s="14">
        <f>Tabell4[[#This Row],[MAT]]/Tabell4[[#This Row],[ANTAL MATCHER]]</f>
        <v>0.73529411764705888</v>
      </c>
      <c r="N71" s="12">
        <f>SUMIF('ALLA ÅR'!B:B,Tabell4[[#This Row],[Namn]],'ALLA ÅR'!H:H)</f>
        <v>34</v>
      </c>
      <c r="O71" s="12">
        <f>(Tabell4[[#This Row],[UTV]]*2)+Tabell4[[#This Row],[VAR]]</f>
        <v>1</v>
      </c>
      <c r="P71" s="12">
        <f>COUNTIF('100%'!B:B,Tabell4[[#This Row],[Namn]])</f>
        <v>0</v>
      </c>
      <c r="Q71" s="12">
        <f>_xlfn.XLOOKUP(Tabell4[[#This Row],[Namn]],Blad3!A:A,Blad3!B:B)</f>
        <v>0</v>
      </c>
      <c r="R71" s="12">
        <f>_xlfn.XLOOKUP(Tabell4[[#This Row],[Namn]],Blad3!A:A,Blad3!C:C)</f>
        <v>11</v>
      </c>
      <c r="S71" s="12">
        <f>_xlfn.XLOOKUP(Tabell4[[#This Row],[Namn]],Blad3!A:A,Blad3!D:D)</f>
        <v>14</v>
      </c>
      <c r="T71" s="12">
        <f>_xlfn.XLOOKUP(Tabell4[[#This Row],[Namn]],Blad3!A:A,Blad3!E:E)</f>
        <v>0</v>
      </c>
      <c r="U71" s="12">
        <f>RANK(Tabell4[[#This Row],[SÄS]],Tabell4[SÄS])</f>
        <v>61</v>
      </c>
      <c r="V71" s="12">
        <f>_xlfn.XLOOKUP(Tabell4[[#This Row],[Namn]],Blad3!H:H,Blad3!I:I)</f>
        <v>0</v>
      </c>
      <c r="W71" s="12">
        <f>_xlfn.XLOOKUP(Tabell4[[#This Row],[Namn]],Blad3!H:H,Blad3!J:J)</f>
        <v>0</v>
      </c>
      <c r="X71" s="12">
        <f>_xlfn.XLOOKUP(Tabell4[[#This Row],[Namn]],Blad3!H:H,Blad3!K:K)</f>
        <v>0</v>
      </c>
      <c r="Y71" s="12">
        <f>_xlfn.XLOOKUP(Tabell4[[#This Row],[Namn]],Blad3!H:H,Blad3!L:L)</f>
        <v>0</v>
      </c>
    </row>
    <row r="72" spans="1:25" x14ac:dyDescent="0.25">
      <c r="A72" s="15">
        <f>Tabell4[[#This Row],[RANK MATCHER]]</f>
        <v>58</v>
      </c>
      <c r="B72" s="11" t="s">
        <v>48</v>
      </c>
      <c r="C72" s="12">
        <f>SUMIF('ALLA ÅR'!B:B,Tabell4[[#This Row],[Namn]],'ALLA ÅR'!C:C)</f>
        <v>24</v>
      </c>
      <c r="D72" s="12">
        <f>SUMIF('ALLA ÅR'!B:B,Tabell4[[#This Row],[Namn]],'ALLA ÅR'!E:E)</f>
        <v>0</v>
      </c>
      <c r="E72" s="12">
        <f>SUMIF('ALLA ÅR'!B:B,Tabell4[[#This Row],[Namn]],'ALLA ÅR'!F:F)</f>
        <v>0</v>
      </c>
      <c r="F72" s="12">
        <f>SUMIF('ALLA ÅR'!B:B,Tabell4[[#This Row],[Namn]],'ALLA ÅR'!G:G)</f>
        <v>17</v>
      </c>
      <c r="G72" s="12">
        <f>VLOOKUP(Tabell4[[#This Row],[Namn]],'ALLA ÅR'!B:J,9,0)</f>
        <v>2025</v>
      </c>
      <c r="H72" s="12">
        <f>COUNTIF('ALLA ÅR'!B:B,Tabell4[[#This Row],[Namn]])</f>
        <v>2</v>
      </c>
      <c r="I72" s="12">
        <f>VLOOKUP(Tabell4[[#This Row],[Namn]],'ALLA ÅR'!B:L,11,0)</f>
        <v>26</v>
      </c>
      <c r="J72" s="12">
        <f>RANK(Tabell4[[#This Row],[MÅL]],F:F)</f>
        <v>12</v>
      </c>
      <c r="K72" s="12">
        <f>RANK(Tabell4[[#This Row],[VAR]],D:D)</f>
        <v>54</v>
      </c>
      <c r="L72" s="12">
        <f>RANK(Tabell4[[#This Row],[MAT]],C:C)</f>
        <v>58</v>
      </c>
      <c r="M72" s="14">
        <f>Tabell4[[#This Row],[MAT]]/Tabell4[[#This Row],[ANTAL MATCHER]]</f>
        <v>0.72727272727272729</v>
      </c>
      <c r="N72" s="12">
        <f>SUMIF('ALLA ÅR'!B:B,Tabell4[[#This Row],[Namn]],'ALLA ÅR'!H:H)</f>
        <v>33</v>
      </c>
      <c r="O72" s="12">
        <f>(Tabell4[[#This Row],[UTV]]*2)+Tabell4[[#This Row],[VAR]]</f>
        <v>0</v>
      </c>
      <c r="P72" s="12">
        <f>COUNTIF('100%'!B:B,Tabell4[[#This Row],[Namn]])</f>
        <v>0</v>
      </c>
      <c r="Q72" s="12">
        <f>_xlfn.XLOOKUP(Tabell4[[#This Row],[Namn]],Blad3!A:A,Blad3!B:B)</f>
        <v>0</v>
      </c>
      <c r="R72" s="12">
        <f>_xlfn.XLOOKUP(Tabell4[[#This Row],[Namn]],Blad3!A:A,Blad3!C:C)</f>
        <v>24</v>
      </c>
      <c r="S72" s="12">
        <f>_xlfn.XLOOKUP(Tabell4[[#This Row],[Namn]],Blad3!A:A,Blad3!D:D)</f>
        <v>0</v>
      </c>
      <c r="T72" s="12">
        <f>_xlfn.XLOOKUP(Tabell4[[#This Row],[Namn]],Blad3!A:A,Blad3!E:E)</f>
        <v>0</v>
      </c>
      <c r="U72" s="12">
        <f>RANK(Tabell4[[#This Row],[SÄS]],Tabell4[SÄS])</f>
        <v>61</v>
      </c>
      <c r="V72" s="12">
        <f>_xlfn.XLOOKUP(Tabell4[[#This Row],[Namn]],Blad3!H:H,Blad3!I:I)</f>
        <v>0</v>
      </c>
      <c r="W72" s="12">
        <f>_xlfn.XLOOKUP(Tabell4[[#This Row],[Namn]],Blad3!H:H,Blad3!J:J)</f>
        <v>17</v>
      </c>
      <c r="X72" s="12">
        <f>_xlfn.XLOOKUP(Tabell4[[#This Row],[Namn]],Blad3!H:H,Blad3!K:K)</f>
        <v>0</v>
      </c>
      <c r="Y72" s="12">
        <f>_xlfn.XLOOKUP(Tabell4[[#This Row],[Namn]],Blad3!H:H,Blad3!L:L)</f>
        <v>0</v>
      </c>
    </row>
    <row r="73" spans="1:25" x14ac:dyDescent="0.25">
      <c r="A73" s="15">
        <f>Tabell4[[#This Row],[RANK MATCHER]]</f>
        <v>59</v>
      </c>
      <c r="B73" s="11" t="s">
        <v>62</v>
      </c>
      <c r="C73" s="12">
        <f>SUMIF('ALLA ÅR'!B:B,Tabell4[[#This Row],[Namn]],'ALLA ÅR'!C:C)</f>
        <v>23</v>
      </c>
      <c r="D73" s="12">
        <f>SUMIF('ALLA ÅR'!B:B,Tabell4[[#This Row],[Namn]],'ALLA ÅR'!E:E)</f>
        <v>0</v>
      </c>
      <c r="E73" s="12">
        <f>SUMIF('ALLA ÅR'!B:B,Tabell4[[#This Row],[Namn]],'ALLA ÅR'!F:F)</f>
        <v>0</v>
      </c>
      <c r="F73" s="12">
        <f>SUMIF('ALLA ÅR'!B:B,Tabell4[[#This Row],[Namn]],'ALLA ÅR'!G:G)</f>
        <v>0</v>
      </c>
      <c r="G73" s="12">
        <f>VLOOKUP(Tabell4[[#This Row],[Namn]],'ALLA ÅR'!B:J,9,0)</f>
        <v>2024</v>
      </c>
      <c r="H73" s="12">
        <f>COUNTIF('ALLA ÅR'!B:B,Tabell4[[#This Row],[Namn]])</f>
        <v>2</v>
      </c>
      <c r="I73" s="12">
        <f>VLOOKUP(Tabell4[[#This Row],[Namn]],'ALLA ÅR'!B:L,11,0)</f>
        <v>23</v>
      </c>
      <c r="J73" s="12">
        <f>RANK(Tabell4[[#This Row],[MÅL]],F:F)</f>
        <v>107</v>
      </c>
      <c r="K73" s="12">
        <f>RANK(Tabell4[[#This Row],[VAR]],D:D)</f>
        <v>54</v>
      </c>
      <c r="L73" s="12">
        <f>RANK(Tabell4[[#This Row],[MAT]],C:C)</f>
        <v>59</v>
      </c>
      <c r="M73" s="14">
        <f>Tabell4[[#This Row],[MAT]]/Tabell4[[#This Row],[ANTAL MATCHER]]</f>
        <v>0.45098039215686275</v>
      </c>
      <c r="N73" s="12">
        <f>SUMIF('ALLA ÅR'!B:B,Tabell4[[#This Row],[Namn]],'ALLA ÅR'!H:H)</f>
        <v>51</v>
      </c>
      <c r="O73" s="12">
        <f>(Tabell4[[#This Row],[UTV]]*2)+Tabell4[[#This Row],[VAR]]</f>
        <v>0</v>
      </c>
      <c r="P73" s="12">
        <f>COUNTIF('100%'!B:B,Tabell4[[#This Row],[Namn]])</f>
        <v>0</v>
      </c>
      <c r="Q73" s="12">
        <f>_xlfn.XLOOKUP(Tabell4[[#This Row],[Namn]],Blad3!A:A,Blad3!B:B)</f>
        <v>0</v>
      </c>
      <c r="R73" s="12">
        <f>_xlfn.XLOOKUP(Tabell4[[#This Row],[Namn]],Blad3!A:A,Blad3!C:C)</f>
        <v>23</v>
      </c>
      <c r="S73" s="12">
        <f>_xlfn.XLOOKUP(Tabell4[[#This Row],[Namn]],Blad3!A:A,Blad3!D:D)</f>
        <v>0</v>
      </c>
      <c r="T73" s="12">
        <f>_xlfn.XLOOKUP(Tabell4[[#This Row],[Namn]],Blad3!A:A,Blad3!E:E)</f>
        <v>0</v>
      </c>
      <c r="U73" s="12">
        <f>RANK(Tabell4[[#This Row],[SÄS]],Tabell4[SÄS])</f>
        <v>61</v>
      </c>
      <c r="V73" s="12">
        <f>_xlfn.XLOOKUP(Tabell4[[#This Row],[Namn]],Blad3!H:H,Blad3!I:I)</f>
        <v>0</v>
      </c>
      <c r="W73" s="12">
        <f>_xlfn.XLOOKUP(Tabell4[[#This Row],[Namn]],Blad3!H:H,Blad3!J:J)</f>
        <v>0</v>
      </c>
      <c r="X73" s="12">
        <f>_xlfn.XLOOKUP(Tabell4[[#This Row],[Namn]],Blad3!H:H,Blad3!K:K)</f>
        <v>0</v>
      </c>
      <c r="Y73" s="12">
        <f>_xlfn.XLOOKUP(Tabell4[[#This Row],[Namn]],Blad3!H:H,Blad3!L:L)</f>
        <v>0</v>
      </c>
    </row>
    <row r="74" spans="1:25" x14ac:dyDescent="0.25">
      <c r="A74" s="15">
        <f>Tabell4[[#This Row],[RANK MATCHER]]</f>
        <v>59</v>
      </c>
      <c r="B74" s="11" t="s">
        <v>134</v>
      </c>
      <c r="C74" s="12">
        <f>SUMIF('ALLA ÅR'!B:B,Tabell4[[#This Row],[Namn]],'ALLA ÅR'!C:C)</f>
        <v>23</v>
      </c>
      <c r="D74" s="12">
        <f>SUMIF('ALLA ÅR'!B:B,Tabell4[[#This Row],[Namn]],'ALLA ÅR'!E:E)</f>
        <v>0</v>
      </c>
      <c r="E74" s="12">
        <f>SUMIF('ALLA ÅR'!B:B,Tabell4[[#This Row],[Namn]],'ALLA ÅR'!F:F)</f>
        <v>0</v>
      </c>
      <c r="F74" s="12">
        <f>SUMIF('ALLA ÅR'!B:B,Tabell4[[#This Row],[Namn]],'ALLA ÅR'!G:G)</f>
        <v>6</v>
      </c>
      <c r="G74" s="12">
        <f>VLOOKUP(Tabell4[[#This Row],[Namn]],'ALLA ÅR'!B:J,9,0)</f>
        <v>2016</v>
      </c>
      <c r="H74" s="12">
        <f>COUNTIF('ALLA ÅR'!B:B,Tabell4[[#This Row],[Namn]])</f>
        <v>2</v>
      </c>
      <c r="I74" s="12">
        <f>VLOOKUP(Tabell4[[#This Row],[Namn]],'ALLA ÅR'!B:L,11,0)</f>
        <v>16</v>
      </c>
      <c r="J74" s="12">
        <f>RANK(Tabell4[[#This Row],[MÅL]],F:F)</f>
        <v>31</v>
      </c>
      <c r="K74" s="12">
        <f>RANK(Tabell4[[#This Row],[VAR]],D:D)</f>
        <v>54</v>
      </c>
      <c r="L74" s="12">
        <f>RANK(Tabell4[[#This Row],[MAT]],C:C)</f>
        <v>59</v>
      </c>
      <c r="M74" s="14">
        <f>Tabell4[[#This Row],[MAT]]/Tabell4[[#This Row],[ANTAL MATCHER]]</f>
        <v>0.58974358974358976</v>
      </c>
      <c r="N74" s="12">
        <f>SUMIF('ALLA ÅR'!B:B,Tabell4[[#This Row],[Namn]],'ALLA ÅR'!H:H)</f>
        <v>39</v>
      </c>
      <c r="O74" s="12">
        <f>(Tabell4[[#This Row],[UTV]]*2)+Tabell4[[#This Row],[VAR]]</f>
        <v>0</v>
      </c>
      <c r="P74" s="12">
        <f>COUNTIF('100%'!B:B,Tabell4[[#This Row],[Namn]])</f>
        <v>0</v>
      </c>
      <c r="Q74" s="12">
        <f>_xlfn.XLOOKUP(Tabell4[[#This Row],[Namn]],Blad3!A:A,Blad3!B:B)</f>
        <v>0</v>
      </c>
      <c r="R74" s="12">
        <f>_xlfn.XLOOKUP(Tabell4[[#This Row],[Namn]],Blad3!A:A,Blad3!C:C)</f>
        <v>0</v>
      </c>
      <c r="S74" s="12">
        <f>_xlfn.XLOOKUP(Tabell4[[#This Row],[Namn]],Blad3!A:A,Blad3!D:D)</f>
        <v>0</v>
      </c>
      <c r="T74" s="12">
        <f>_xlfn.XLOOKUP(Tabell4[[#This Row],[Namn]],Blad3!A:A,Blad3!E:E)</f>
        <v>23</v>
      </c>
      <c r="U74" s="12">
        <f>RANK(Tabell4[[#This Row],[SÄS]],Tabell4[SÄS])</f>
        <v>61</v>
      </c>
      <c r="V74" s="12">
        <f>_xlfn.XLOOKUP(Tabell4[[#This Row],[Namn]],Blad3!H:H,Blad3!I:I)</f>
        <v>0</v>
      </c>
      <c r="W74" s="12">
        <f>_xlfn.XLOOKUP(Tabell4[[#This Row],[Namn]],Blad3!H:H,Blad3!J:J)</f>
        <v>0</v>
      </c>
      <c r="X74" s="12">
        <f>_xlfn.XLOOKUP(Tabell4[[#This Row],[Namn]],Blad3!H:H,Blad3!K:K)</f>
        <v>0</v>
      </c>
      <c r="Y74" s="12">
        <f>_xlfn.XLOOKUP(Tabell4[[#This Row],[Namn]],Blad3!H:H,Blad3!L:L)</f>
        <v>6</v>
      </c>
    </row>
    <row r="75" spans="1:25" x14ac:dyDescent="0.25">
      <c r="A75" s="15">
        <f>Tabell4[[#This Row],[RANK MATCHER]]</f>
        <v>59</v>
      </c>
      <c r="B75" s="11" t="s">
        <v>132</v>
      </c>
      <c r="C75" s="12">
        <f>SUMIF('ALLA ÅR'!B:B,Tabell4[[#This Row],[Namn]],'ALLA ÅR'!C:C)</f>
        <v>23</v>
      </c>
      <c r="D75" s="12">
        <f>SUMIF('ALLA ÅR'!B:B,Tabell4[[#This Row],[Namn]],'ALLA ÅR'!E:E)</f>
        <v>0</v>
      </c>
      <c r="E75" s="12">
        <f>SUMIF('ALLA ÅR'!B:B,Tabell4[[#This Row],[Namn]],'ALLA ÅR'!F:F)</f>
        <v>0</v>
      </c>
      <c r="F75" s="12">
        <f>SUMIF('ALLA ÅR'!B:B,Tabell4[[#This Row],[Namn]],'ALLA ÅR'!G:G)</f>
        <v>2</v>
      </c>
      <c r="G75" s="12">
        <f>VLOOKUP(Tabell4[[#This Row],[Namn]],'ALLA ÅR'!B:J,9,0)</f>
        <v>2016</v>
      </c>
      <c r="H75" s="12">
        <f>COUNTIF('ALLA ÅR'!B:B,Tabell4[[#This Row],[Namn]])</f>
        <v>2</v>
      </c>
      <c r="I75" s="12">
        <f>VLOOKUP(Tabell4[[#This Row],[Namn]],'ALLA ÅR'!B:L,11,0)</f>
        <v>16</v>
      </c>
      <c r="J75" s="12">
        <f>RANK(Tabell4[[#This Row],[MÅL]],F:F)</f>
        <v>59</v>
      </c>
      <c r="K75" s="12">
        <f>RANK(Tabell4[[#This Row],[VAR]],D:D)</f>
        <v>54</v>
      </c>
      <c r="L75" s="12">
        <f>RANK(Tabell4[[#This Row],[MAT]],C:C)</f>
        <v>59</v>
      </c>
      <c r="M75" s="14">
        <f>Tabell4[[#This Row],[MAT]]/Tabell4[[#This Row],[ANTAL MATCHER]]</f>
        <v>0.58974358974358976</v>
      </c>
      <c r="N75" s="12">
        <f>SUMIF('ALLA ÅR'!B:B,Tabell4[[#This Row],[Namn]],'ALLA ÅR'!H:H)</f>
        <v>39</v>
      </c>
      <c r="O75" s="12">
        <f>(Tabell4[[#This Row],[UTV]]*2)+Tabell4[[#This Row],[VAR]]</f>
        <v>0</v>
      </c>
      <c r="P75" s="12">
        <f>COUNTIF('100%'!B:B,Tabell4[[#This Row],[Namn]])</f>
        <v>0</v>
      </c>
      <c r="Q75" s="12">
        <f>_xlfn.XLOOKUP(Tabell4[[#This Row],[Namn]],Blad3!A:A,Blad3!B:B)</f>
        <v>0</v>
      </c>
      <c r="R75" s="12">
        <f>_xlfn.XLOOKUP(Tabell4[[#This Row],[Namn]],Blad3!A:A,Blad3!C:C)</f>
        <v>0</v>
      </c>
      <c r="S75" s="12">
        <f>_xlfn.XLOOKUP(Tabell4[[#This Row],[Namn]],Blad3!A:A,Blad3!D:D)</f>
        <v>0</v>
      </c>
      <c r="T75" s="12">
        <f>_xlfn.XLOOKUP(Tabell4[[#This Row],[Namn]],Blad3!A:A,Blad3!E:E)</f>
        <v>23</v>
      </c>
      <c r="U75" s="12">
        <f>RANK(Tabell4[[#This Row],[SÄS]],Tabell4[SÄS])</f>
        <v>61</v>
      </c>
      <c r="V75" s="12">
        <f>_xlfn.XLOOKUP(Tabell4[[#This Row],[Namn]],Blad3!H:H,Blad3!I:I)</f>
        <v>0</v>
      </c>
      <c r="W75" s="12">
        <f>_xlfn.XLOOKUP(Tabell4[[#This Row],[Namn]],Blad3!H:H,Blad3!J:J)</f>
        <v>0</v>
      </c>
      <c r="X75" s="12">
        <f>_xlfn.XLOOKUP(Tabell4[[#This Row],[Namn]],Blad3!H:H,Blad3!K:K)</f>
        <v>0</v>
      </c>
      <c r="Y75" s="12">
        <f>_xlfn.XLOOKUP(Tabell4[[#This Row],[Namn]],Blad3!H:H,Blad3!L:L)</f>
        <v>2</v>
      </c>
    </row>
    <row r="76" spans="1:25" x14ac:dyDescent="0.25">
      <c r="A76" s="15">
        <f>Tabell4[[#This Row],[RANK MATCHER]]</f>
        <v>59</v>
      </c>
      <c r="B76" s="11" t="s">
        <v>186</v>
      </c>
      <c r="C76" s="12">
        <f>SUMIF('ALLA ÅR'!B:B,Tabell4[[#This Row],[Namn]],'ALLA ÅR'!C:C)</f>
        <v>23</v>
      </c>
      <c r="D76" s="12">
        <f>SUMIF('ALLA ÅR'!B:B,Tabell4[[#This Row],[Namn]],'ALLA ÅR'!E:E)</f>
        <v>0</v>
      </c>
      <c r="E76" s="12">
        <f>SUMIF('ALLA ÅR'!B:B,Tabell4[[#This Row],[Namn]],'ALLA ÅR'!F:F)</f>
        <v>0</v>
      </c>
      <c r="F76" s="12">
        <f>SUMIF('ALLA ÅR'!B:B,Tabell4[[#This Row],[Namn]],'ALLA ÅR'!G:G)</f>
        <v>1</v>
      </c>
      <c r="G76" s="12">
        <f>VLOOKUP(Tabell4[[#This Row],[Namn]],'ALLA ÅR'!B:J,9,0)</f>
        <v>2011</v>
      </c>
      <c r="H76" s="12">
        <f>COUNTIF('ALLA ÅR'!B:B,Tabell4[[#This Row],[Namn]])</f>
        <v>1</v>
      </c>
      <c r="I76" s="12">
        <f>VLOOKUP(Tabell4[[#This Row],[Namn]],'ALLA ÅR'!B:L,11,0)</f>
        <v>27</v>
      </c>
      <c r="J76" s="12">
        <f>RANK(Tabell4[[#This Row],[MÅL]],F:F)</f>
        <v>67</v>
      </c>
      <c r="K76" s="12">
        <f>RANK(Tabell4[[#This Row],[VAR]],D:D)</f>
        <v>54</v>
      </c>
      <c r="L76" s="12">
        <f>RANK(Tabell4[[#This Row],[MAT]],C:C)</f>
        <v>59</v>
      </c>
      <c r="M76" s="14">
        <f>Tabell4[[#This Row],[MAT]]/Tabell4[[#This Row],[ANTAL MATCHER]]</f>
        <v>0.95833333333333337</v>
      </c>
      <c r="N76" s="12">
        <f>SUMIF('ALLA ÅR'!B:B,Tabell4[[#This Row],[Namn]],'ALLA ÅR'!H:H)</f>
        <v>24</v>
      </c>
      <c r="O76" s="12">
        <f>(Tabell4[[#This Row],[UTV]]*2)+Tabell4[[#This Row],[VAR]]</f>
        <v>0</v>
      </c>
      <c r="P76" s="12">
        <f>COUNTIF('100%'!B:B,Tabell4[[#This Row],[Namn]])</f>
        <v>0</v>
      </c>
      <c r="Q76" s="12">
        <f>_xlfn.XLOOKUP(Tabell4[[#This Row],[Namn]],Blad3!A:A,Blad3!B:B)</f>
        <v>0</v>
      </c>
      <c r="R76" s="12">
        <f>_xlfn.XLOOKUP(Tabell4[[#This Row],[Namn]],Blad3!A:A,Blad3!C:C)</f>
        <v>0</v>
      </c>
      <c r="S76" s="12">
        <f>_xlfn.XLOOKUP(Tabell4[[#This Row],[Namn]],Blad3!A:A,Blad3!D:D)</f>
        <v>23</v>
      </c>
      <c r="T76" s="12">
        <f>_xlfn.XLOOKUP(Tabell4[[#This Row],[Namn]],Blad3!A:A,Blad3!E:E)</f>
        <v>0</v>
      </c>
      <c r="U76" s="12">
        <f>RANK(Tabell4[[#This Row],[SÄS]],Tabell4[SÄS])</f>
        <v>114</v>
      </c>
      <c r="V76" s="12">
        <f>_xlfn.XLOOKUP(Tabell4[[#This Row],[Namn]],Blad3!H:H,Blad3!I:I)</f>
        <v>0</v>
      </c>
      <c r="W76" s="12">
        <f>_xlfn.XLOOKUP(Tabell4[[#This Row],[Namn]],Blad3!H:H,Blad3!J:J)</f>
        <v>0</v>
      </c>
      <c r="X76" s="12">
        <f>_xlfn.XLOOKUP(Tabell4[[#This Row],[Namn]],Blad3!H:H,Blad3!K:K)</f>
        <v>1</v>
      </c>
      <c r="Y76" s="12">
        <f>_xlfn.XLOOKUP(Tabell4[[#This Row],[Namn]],Blad3!H:H,Blad3!L:L)</f>
        <v>0</v>
      </c>
    </row>
    <row r="77" spans="1:25" x14ac:dyDescent="0.25">
      <c r="A77" s="15">
        <f>Tabell4[[#This Row],[RANK MATCHER]]</f>
        <v>59</v>
      </c>
      <c r="B77" s="11" t="s">
        <v>187</v>
      </c>
      <c r="C77" s="12">
        <f>SUMIF('ALLA ÅR'!B:B,Tabell4[[#This Row],[Namn]],'ALLA ÅR'!C:C)</f>
        <v>23</v>
      </c>
      <c r="D77" s="12">
        <f>SUMIF('ALLA ÅR'!B:B,Tabell4[[#This Row],[Namn]],'ALLA ÅR'!E:E)</f>
        <v>0</v>
      </c>
      <c r="E77" s="12">
        <f>SUMIF('ALLA ÅR'!B:B,Tabell4[[#This Row],[Namn]],'ALLA ÅR'!F:F)</f>
        <v>0</v>
      </c>
      <c r="F77" s="12">
        <f>SUMIF('ALLA ÅR'!B:B,Tabell4[[#This Row],[Namn]],'ALLA ÅR'!G:G)</f>
        <v>1</v>
      </c>
      <c r="G77" s="12">
        <f>VLOOKUP(Tabell4[[#This Row],[Namn]],'ALLA ÅR'!B:J,9,0)</f>
        <v>2011</v>
      </c>
      <c r="H77" s="12">
        <f>COUNTIF('ALLA ÅR'!B:B,Tabell4[[#This Row],[Namn]])</f>
        <v>1</v>
      </c>
      <c r="I77" s="12">
        <f>VLOOKUP(Tabell4[[#This Row],[Namn]],'ALLA ÅR'!B:L,11,0)</f>
        <v>27</v>
      </c>
      <c r="J77" s="12">
        <f>RANK(Tabell4[[#This Row],[MÅL]],F:F)</f>
        <v>67</v>
      </c>
      <c r="K77" s="12">
        <f>RANK(Tabell4[[#This Row],[VAR]],D:D)</f>
        <v>54</v>
      </c>
      <c r="L77" s="12">
        <f>RANK(Tabell4[[#This Row],[MAT]],C:C)</f>
        <v>59</v>
      </c>
      <c r="M77" s="14">
        <f>Tabell4[[#This Row],[MAT]]/Tabell4[[#This Row],[ANTAL MATCHER]]</f>
        <v>0.95833333333333337</v>
      </c>
      <c r="N77" s="12">
        <f>SUMIF('ALLA ÅR'!B:B,Tabell4[[#This Row],[Namn]],'ALLA ÅR'!H:H)</f>
        <v>24</v>
      </c>
      <c r="O77" s="12">
        <f>(Tabell4[[#This Row],[UTV]]*2)+Tabell4[[#This Row],[VAR]]</f>
        <v>0</v>
      </c>
      <c r="P77" s="12">
        <f>COUNTIF('100%'!B:B,Tabell4[[#This Row],[Namn]])</f>
        <v>0</v>
      </c>
      <c r="Q77" s="12">
        <f>_xlfn.XLOOKUP(Tabell4[[#This Row],[Namn]],Blad3!A:A,Blad3!B:B)</f>
        <v>0</v>
      </c>
      <c r="R77" s="12">
        <f>_xlfn.XLOOKUP(Tabell4[[#This Row],[Namn]],Blad3!A:A,Blad3!C:C)</f>
        <v>0</v>
      </c>
      <c r="S77" s="12">
        <f>_xlfn.XLOOKUP(Tabell4[[#This Row],[Namn]],Blad3!A:A,Blad3!D:D)</f>
        <v>23</v>
      </c>
      <c r="T77" s="12">
        <f>_xlfn.XLOOKUP(Tabell4[[#This Row],[Namn]],Blad3!A:A,Blad3!E:E)</f>
        <v>0</v>
      </c>
      <c r="U77" s="12">
        <f>RANK(Tabell4[[#This Row],[SÄS]],Tabell4[SÄS])</f>
        <v>114</v>
      </c>
      <c r="V77" s="12">
        <f>_xlfn.XLOOKUP(Tabell4[[#This Row],[Namn]],Blad3!H:H,Blad3!I:I)</f>
        <v>0</v>
      </c>
      <c r="W77" s="12">
        <f>_xlfn.XLOOKUP(Tabell4[[#This Row],[Namn]],Blad3!H:H,Blad3!J:J)</f>
        <v>0</v>
      </c>
      <c r="X77" s="12">
        <f>_xlfn.XLOOKUP(Tabell4[[#This Row],[Namn]],Blad3!H:H,Blad3!K:K)</f>
        <v>1</v>
      </c>
      <c r="Y77" s="12">
        <f>_xlfn.XLOOKUP(Tabell4[[#This Row],[Namn]],Blad3!H:H,Blad3!L:L)</f>
        <v>0</v>
      </c>
    </row>
    <row r="78" spans="1:25" x14ac:dyDescent="0.25">
      <c r="A78" s="15">
        <f>Tabell4[[#This Row],[RANK MATCHER]]</f>
        <v>59</v>
      </c>
      <c r="B78" s="11" t="s">
        <v>193</v>
      </c>
      <c r="C78" s="12">
        <f>SUMIF('ALLA ÅR'!B:B,Tabell4[[#This Row],[Namn]],'ALLA ÅR'!C:C)</f>
        <v>23</v>
      </c>
      <c r="D78" s="12">
        <f>SUMIF('ALLA ÅR'!B:B,Tabell4[[#This Row],[Namn]],'ALLA ÅR'!E:E)</f>
        <v>0</v>
      </c>
      <c r="E78" s="12">
        <f>SUMIF('ALLA ÅR'!B:B,Tabell4[[#This Row],[Namn]],'ALLA ÅR'!F:F)</f>
        <v>0</v>
      </c>
      <c r="F78" s="12">
        <f>SUMIF('ALLA ÅR'!B:B,Tabell4[[#This Row],[Namn]],'ALLA ÅR'!G:G)</f>
        <v>1</v>
      </c>
      <c r="G78" s="12">
        <f>VLOOKUP(Tabell4[[#This Row],[Namn]],'ALLA ÅR'!B:J,9,0)</f>
        <v>2011</v>
      </c>
      <c r="H78" s="12">
        <f>COUNTIF('ALLA ÅR'!B:B,Tabell4[[#This Row],[Namn]])</f>
        <v>2</v>
      </c>
      <c r="I78" s="12">
        <f>VLOOKUP(Tabell4[[#This Row],[Namn]],'ALLA ÅR'!B:L,11,0)</f>
        <v>21</v>
      </c>
      <c r="J78" s="12">
        <f>RANK(Tabell4[[#This Row],[MÅL]],F:F)</f>
        <v>67</v>
      </c>
      <c r="K78" s="12">
        <f>RANK(Tabell4[[#This Row],[VAR]],D:D)</f>
        <v>54</v>
      </c>
      <c r="L78" s="12">
        <f>RANK(Tabell4[[#This Row],[MAT]],C:C)</f>
        <v>59</v>
      </c>
      <c r="M78" s="14">
        <f>Tabell4[[#This Row],[MAT]]/Tabell4[[#This Row],[ANTAL MATCHER]]</f>
        <v>0.5</v>
      </c>
      <c r="N78" s="12">
        <f>SUMIF('ALLA ÅR'!B:B,Tabell4[[#This Row],[Namn]],'ALLA ÅR'!H:H)</f>
        <v>46</v>
      </c>
      <c r="O78" s="12">
        <f>(Tabell4[[#This Row],[UTV]]*2)+Tabell4[[#This Row],[VAR]]</f>
        <v>0</v>
      </c>
      <c r="P78" s="12">
        <f>COUNTIF('100%'!B:B,Tabell4[[#This Row],[Namn]])</f>
        <v>0</v>
      </c>
      <c r="Q78" s="12">
        <f>_xlfn.XLOOKUP(Tabell4[[#This Row],[Namn]],Blad3!A:A,Blad3!B:B)</f>
        <v>0</v>
      </c>
      <c r="R78" s="12">
        <f>_xlfn.XLOOKUP(Tabell4[[#This Row],[Namn]],Blad3!A:A,Blad3!C:C)</f>
        <v>0</v>
      </c>
      <c r="S78" s="12">
        <f>_xlfn.XLOOKUP(Tabell4[[#This Row],[Namn]],Blad3!A:A,Blad3!D:D)</f>
        <v>23</v>
      </c>
      <c r="T78" s="12">
        <f>_xlfn.XLOOKUP(Tabell4[[#This Row],[Namn]],Blad3!A:A,Blad3!E:E)</f>
        <v>0</v>
      </c>
      <c r="U78" s="12">
        <f>RANK(Tabell4[[#This Row],[SÄS]],Tabell4[SÄS])</f>
        <v>61</v>
      </c>
      <c r="V78" s="12">
        <f>_xlfn.XLOOKUP(Tabell4[[#This Row],[Namn]],Blad3!H:H,Blad3!I:I)</f>
        <v>0</v>
      </c>
      <c r="W78" s="12">
        <f>_xlfn.XLOOKUP(Tabell4[[#This Row],[Namn]],Blad3!H:H,Blad3!J:J)</f>
        <v>0</v>
      </c>
      <c r="X78" s="12">
        <f>_xlfn.XLOOKUP(Tabell4[[#This Row],[Namn]],Blad3!H:H,Blad3!K:K)</f>
        <v>1</v>
      </c>
      <c r="Y78" s="12">
        <f>_xlfn.XLOOKUP(Tabell4[[#This Row],[Namn]],Blad3!H:H,Blad3!L:L)</f>
        <v>0</v>
      </c>
    </row>
    <row r="79" spans="1:25" x14ac:dyDescent="0.25">
      <c r="A79" s="15">
        <f>Tabell4[[#This Row],[RANK MATCHER]]</f>
        <v>65</v>
      </c>
      <c r="B79" s="11" t="s">
        <v>40</v>
      </c>
      <c r="C79" s="12">
        <f>SUMIF('ALLA ÅR'!B:B,Tabell4[[#This Row],[Namn]],'ALLA ÅR'!C:C)</f>
        <v>22</v>
      </c>
      <c r="D79" s="12">
        <f>SUMIF('ALLA ÅR'!B:B,Tabell4[[#This Row],[Namn]],'ALLA ÅR'!E:E)</f>
        <v>0</v>
      </c>
      <c r="E79" s="12">
        <f>SUMIF('ALLA ÅR'!B:B,Tabell4[[#This Row],[Namn]],'ALLA ÅR'!F:F)</f>
        <v>0</v>
      </c>
      <c r="F79" s="12">
        <f>SUMIF('ALLA ÅR'!B:B,Tabell4[[#This Row],[Namn]],'ALLA ÅR'!G:G)</f>
        <v>4</v>
      </c>
      <c r="G79" s="12">
        <f>VLOOKUP(Tabell4[[#This Row],[Namn]],'ALLA ÅR'!B:J,9,0)</f>
        <v>2026</v>
      </c>
      <c r="H79" s="12">
        <f>COUNTIF('ALLA ÅR'!B:B,Tabell4[[#This Row],[Namn]])</f>
        <v>3</v>
      </c>
      <c r="I79" s="12">
        <f>VLOOKUP(Tabell4[[#This Row],[Namn]],'ALLA ÅR'!B:L,11,0)</f>
        <v>19</v>
      </c>
      <c r="J79" s="12">
        <f>RANK(Tabell4[[#This Row],[MÅL]],F:F)</f>
        <v>41</v>
      </c>
      <c r="K79" s="12">
        <f>RANK(Tabell4[[#This Row],[VAR]],D:D)</f>
        <v>54</v>
      </c>
      <c r="L79" s="12">
        <f>RANK(Tabell4[[#This Row],[MAT]],C:C)</f>
        <v>65</v>
      </c>
      <c r="M79" s="14">
        <f>Tabell4[[#This Row],[MAT]]/Tabell4[[#This Row],[ANTAL MATCHER]]</f>
        <v>0.59459459459459463</v>
      </c>
      <c r="N79" s="12">
        <f>SUMIF('ALLA ÅR'!B:B,Tabell4[[#This Row],[Namn]],'ALLA ÅR'!H:H)</f>
        <v>37</v>
      </c>
      <c r="O79" s="12">
        <f>(Tabell4[[#This Row],[UTV]]*2)+Tabell4[[#This Row],[VAR]]</f>
        <v>0</v>
      </c>
      <c r="P79" s="12">
        <f>COUNTIF('100%'!B:B,Tabell4[[#This Row],[Namn]])</f>
        <v>1</v>
      </c>
      <c r="Q79" s="12">
        <f>_xlfn.XLOOKUP(Tabell4[[#This Row],[Namn]],Blad3!A:A,Blad3!B:B)</f>
        <v>0</v>
      </c>
      <c r="R79" s="12">
        <f>_xlfn.XLOOKUP(Tabell4[[#This Row],[Namn]],Blad3!A:A,Blad3!C:C)</f>
        <v>22</v>
      </c>
      <c r="S79" s="12">
        <f>_xlfn.XLOOKUP(Tabell4[[#This Row],[Namn]],Blad3!A:A,Blad3!D:D)</f>
        <v>0</v>
      </c>
      <c r="T79" s="12">
        <f>_xlfn.XLOOKUP(Tabell4[[#This Row],[Namn]],Blad3!A:A,Blad3!E:E)</f>
        <v>0</v>
      </c>
      <c r="U79" s="12">
        <f>RANK(Tabell4[[#This Row],[SÄS]],Tabell4[SÄS])</f>
        <v>33</v>
      </c>
      <c r="V79" s="12">
        <f>_xlfn.XLOOKUP(Tabell4[[#This Row],[Namn]],Blad3!H:H,Blad3!I:I)</f>
        <v>0</v>
      </c>
      <c r="W79" s="12">
        <f>_xlfn.XLOOKUP(Tabell4[[#This Row],[Namn]],Blad3!H:H,Blad3!J:J)</f>
        <v>4</v>
      </c>
      <c r="X79" s="12">
        <f>_xlfn.XLOOKUP(Tabell4[[#This Row],[Namn]],Blad3!H:H,Blad3!K:K)</f>
        <v>0</v>
      </c>
      <c r="Y79" s="12">
        <f>_xlfn.XLOOKUP(Tabell4[[#This Row],[Namn]],Blad3!H:H,Blad3!L:L)</f>
        <v>0</v>
      </c>
    </row>
    <row r="80" spans="1:25" x14ac:dyDescent="0.25">
      <c r="A80" s="15">
        <f>Tabell4[[#This Row],[RANK MATCHER]]</f>
        <v>65</v>
      </c>
      <c r="B80" s="11" t="s">
        <v>61</v>
      </c>
      <c r="C80" s="12">
        <f>SUMIF('ALLA ÅR'!B:B,Tabell4[[#This Row],[Namn]],'ALLA ÅR'!C:C)</f>
        <v>22</v>
      </c>
      <c r="D80" s="12">
        <f>SUMIF('ALLA ÅR'!B:B,Tabell4[[#This Row],[Namn]],'ALLA ÅR'!E:E)</f>
        <v>1</v>
      </c>
      <c r="E80" s="12">
        <f>SUMIF('ALLA ÅR'!B:B,Tabell4[[#This Row],[Namn]],'ALLA ÅR'!F:F)</f>
        <v>0</v>
      </c>
      <c r="F80" s="12">
        <f>SUMIF('ALLA ÅR'!B:B,Tabell4[[#This Row],[Namn]],'ALLA ÅR'!G:G)</f>
        <v>3</v>
      </c>
      <c r="G80" s="12">
        <f>VLOOKUP(Tabell4[[#This Row],[Namn]],'ALLA ÅR'!B:J,9,0)</f>
        <v>2024</v>
      </c>
      <c r="H80" s="12">
        <f>COUNTIF('ALLA ÅR'!B:B,Tabell4[[#This Row],[Namn]])</f>
        <v>2</v>
      </c>
      <c r="I80" s="12">
        <f>VLOOKUP(Tabell4[[#This Row],[Namn]],'ALLA ÅR'!B:L,11,0)</f>
        <v>21</v>
      </c>
      <c r="J80" s="12">
        <f>RANK(Tabell4[[#This Row],[MÅL]],F:F)</f>
        <v>49</v>
      </c>
      <c r="K80" s="12">
        <f>RANK(Tabell4[[#This Row],[VAR]],D:D)</f>
        <v>27</v>
      </c>
      <c r="L80" s="12">
        <f>RANK(Tabell4[[#This Row],[MAT]],C:C)</f>
        <v>65</v>
      </c>
      <c r="M80" s="14">
        <f>Tabell4[[#This Row],[MAT]]/Tabell4[[#This Row],[ANTAL MATCHER]]</f>
        <v>0.43137254901960786</v>
      </c>
      <c r="N80" s="12">
        <f>SUMIF('ALLA ÅR'!B:B,Tabell4[[#This Row],[Namn]],'ALLA ÅR'!H:H)</f>
        <v>51</v>
      </c>
      <c r="O80" s="12">
        <f>(Tabell4[[#This Row],[UTV]]*2)+Tabell4[[#This Row],[VAR]]</f>
        <v>1</v>
      </c>
      <c r="P80" s="12">
        <f>COUNTIF('100%'!B:B,Tabell4[[#This Row],[Namn]])</f>
        <v>0</v>
      </c>
      <c r="Q80" s="12">
        <f>_xlfn.XLOOKUP(Tabell4[[#This Row],[Namn]],Blad3!A:A,Blad3!B:B)</f>
        <v>0</v>
      </c>
      <c r="R80" s="12">
        <f>_xlfn.XLOOKUP(Tabell4[[#This Row],[Namn]],Blad3!A:A,Blad3!C:C)</f>
        <v>22</v>
      </c>
      <c r="S80" s="12">
        <f>_xlfn.XLOOKUP(Tabell4[[#This Row],[Namn]],Blad3!A:A,Blad3!D:D)</f>
        <v>0</v>
      </c>
      <c r="T80" s="12">
        <f>_xlfn.XLOOKUP(Tabell4[[#This Row],[Namn]],Blad3!A:A,Blad3!E:E)</f>
        <v>0</v>
      </c>
      <c r="U80" s="12">
        <f>RANK(Tabell4[[#This Row],[SÄS]],Tabell4[SÄS])</f>
        <v>61</v>
      </c>
      <c r="V80" s="12">
        <f>_xlfn.XLOOKUP(Tabell4[[#This Row],[Namn]],Blad3!H:H,Blad3!I:I)</f>
        <v>0</v>
      </c>
      <c r="W80" s="12">
        <f>_xlfn.XLOOKUP(Tabell4[[#This Row],[Namn]],Blad3!H:H,Blad3!J:J)</f>
        <v>3</v>
      </c>
      <c r="X80" s="12">
        <f>_xlfn.XLOOKUP(Tabell4[[#This Row],[Namn]],Blad3!H:H,Blad3!K:K)</f>
        <v>0</v>
      </c>
      <c r="Y80" s="12">
        <f>_xlfn.XLOOKUP(Tabell4[[#This Row],[Namn]],Blad3!H:H,Blad3!L:L)</f>
        <v>0</v>
      </c>
    </row>
    <row r="81" spans="1:25" x14ac:dyDescent="0.25">
      <c r="A81" s="15">
        <f>Tabell4[[#This Row],[RANK MATCHER]]</f>
        <v>65</v>
      </c>
      <c r="B81" s="11" t="s">
        <v>148</v>
      </c>
      <c r="C81" s="12">
        <f>SUMIF('ALLA ÅR'!B:B,Tabell4[[#This Row],[Namn]],'ALLA ÅR'!C:C)</f>
        <v>22</v>
      </c>
      <c r="D81" s="12">
        <f>SUMIF('ALLA ÅR'!B:B,Tabell4[[#This Row],[Namn]],'ALLA ÅR'!E:E)</f>
        <v>1</v>
      </c>
      <c r="E81" s="12">
        <f>SUMIF('ALLA ÅR'!B:B,Tabell4[[#This Row],[Namn]],'ALLA ÅR'!F:F)</f>
        <v>0</v>
      </c>
      <c r="F81" s="12">
        <f>SUMIF('ALLA ÅR'!B:B,Tabell4[[#This Row],[Namn]],'ALLA ÅR'!G:G)</f>
        <v>28</v>
      </c>
      <c r="G81" s="12">
        <f>VLOOKUP(Tabell4[[#This Row],[Namn]],'ALLA ÅR'!B:J,9,0)</f>
        <v>2015</v>
      </c>
      <c r="H81" s="12">
        <f>COUNTIF('ALLA ÅR'!B:B,Tabell4[[#This Row],[Namn]])</f>
        <v>1</v>
      </c>
      <c r="I81" s="12">
        <f>VLOOKUP(Tabell4[[#This Row],[Namn]],'ALLA ÅR'!B:L,11,0)</f>
        <v>15</v>
      </c>
      <c r="J81" s="12">
        <f>RANK(Tabell4[[#This Row],[MÅL]],F:F)</f>
        <v>7</v>
      </c>
      <c r="K81" s="12">
        <f>RANK(Tabell4[[#This Row],[VAR]],D:D)</f>
        <v>27</v>
      </c>
      <c r="L81" s="12">
        <f>RANK(Tabell4[[#This Row],[MAT]],C:C)</f>
        <v>65</v>
      </c>
      <c r="M81" s="14">
        <f>Tabell4[[#This Row],[MAT]]/Tabell4[[#This Row],[ANTAL MATCHER]]</f>
        <v>0.95652173913043481</v>
      </c>
      <c r="N81" s="12">
        <f>SUMIF('ALLA ÅR'!B:B,Tabell4[[#This Row],[Namn]],'ALLA ÅR'!H:H)</f>
        <v>23</v>
      </c>
      <c r="O81" s="12">
        <f>(Tabell4[[#This Row],[UTV]]*2)+Tabell4[[#This Row],[VAR]]</f>
        <v>1</v>
      </c>
      <c r="P81" s="12">
        <f>COUNTIF('100%'!B:B,Tabell4[[#This Row],[Namn]])</f>
        <v>0</v>
      </c>
      <c r="Q81" s="12">
        <f>_xlfn.XLOOKUP(Tabell4[[#This Row],[Namn]],Blad3!A:A,Blad3!B:B)</f>
        <v>0</v>
      </c>
      <c r="R81" s="12">
        <f>_xlfn.XLOOKUP(Tabell4[[#This Row],[Namn]],Blad3!A:A,Blad3!C:C)</f>
        <v>0</v>
      </c>
      <c r="S81" s="12">
        <f>_xlfn.XLOOKUP(Tabell4[[#This Row],[Namn]],Blad3!A:A,Blad3!D:D)</f>
        <v>0</v>
      </c>
      <c r="T81" s="12">
        <f>_xlfn.XLOOKUP(Tabell4[[#This Row],[Namn]],Blad3!A:A,Blad3!E:E)</f>
        <v>22</v>
      </c>
      <c r="U81" s="12">
        <f>RANK(Tabell4[[#This Row],[SÄS]],Tabell4[SÄS])</f>
        <v>114</v>
      </c>
      <c r="V81" s="12">
        <f>_xlfn.XLOOKUP(Tabell4[[#This Row],[Namn]],Blad3!H:H,Blad3!I:I)</f>
        <v>0</v>
      </c>
      <c r="W81" s="12">
        <f>_xlfn.XLOOKUP(Tabell4[[#This Row],[Namn]],Blad3!H:H,Blad3!J:J)</f>
        <v>0</v>
      </c>
      <c r="X81" s="12">
        <f>_xlfn.XLOOKUP(Tabell4[[#This Row],[Namn]],Blad3!H:H,Blad3!K:K)</f>
        <v>0</v>
      </c>
      <c r="Y81" s="12">
        <f>_xlfn.XLOOKUP(Tabell4[[#This Row],[Namn]],Blad3!H:H,Blad3!L:L)</f>
        <v>28</v>
      </c>
    </row>
    <row r="82" spans="1:25" x14ac:dyDescent="0.25">
      <c r="A82" s="15">
        <f>Tabell4[[#This Row],[RANK MATCHER]]</f>
        <v>65</v>
      </c>
      <c r="B82" s="11" t="s">
        <v>176</v>
      </c>
      <c r="C82" s="12">
        <f>SUMIF('ALLA ÅR'!B:B,Tabell4[[#This Row],[Namn]],'ALLA ÅR'!C:C)</f>
        <v>22</v>
      </c>
      <c r="D82" s="12">
        <f>SUMIF('ALLA ÅR'!B:B,Tabell4[[#This Row],[Namn]],'ALLA ÅR'!E:E)</f>
        <v>1</v>
      </c>
      <c r="E82" s="12">
        <f>SUMIF('ALLA ÅR'!B:B,Tabell4[[#This Row],[Namn]],'ALLA ÅR'!F:F)</f>
        <v>0</v>
      </c>
      <c r="F82" s="12">
        <f>SUMIF('ALLA ÅR'!B:B,Tabell4[[#This Row],[Namn]],'ALLA ÅR'!G:G)</f>
        <v>4</v>
      </c>
      <c r="G82" s="12">
        <f>VLOOKUP(Tabell4[[#This Row],[Namn]],'ALLA ÅR'!B:J,9,0)</f>
        <v>2013</v>
      </c>
      <c r="H82" s="12">
        <f>COUNTIF('ALLA ÅR'!B:B,Tabell4[[#This Row],[Namn]])</f>
        <v>2</v>
      </c>
      <c r="I82" s="12">
        <f>VLOOKUP(Tabell4[[#This Row],[Namn]],'ALLA ÅR'!B:L,11,0)</f>
        <v>16</v>
      </c>
      <c r="J82" s="12">
        <f>RANK(Tabell4[[#This Row],[MÅL]],F:F)</f>
        <v>41</v>
      </c>
      <c r="K82" s="12">
        <f>RANK(Tabell4[[#This Row],[VAR]],D:D)</f>
        <v>27</v>
      </c>
      <c r="L82" s="12">
        <f>RANK(Tabell4[[#This Row],[MAT]],C:C)</f>
        <v>65</v>
      </c>
      <c r="M82" s="14">
        <f>Tabell4[[#This Row],[MAT]]/Tabell4[[#This Row],[ANTAL MATCHER]]</f>
        <v>0.6875</v>
      </c>
      <c r="N82" s="12">
        <f>SUMIF('ALLA ÅR'!B:B,Tabell4[[#This Row],[Namn]],'ALLA ÅR'!H:H)</f>
        <v>32</v>
      </c>
      <c r="O82" s="12">
        <f>(Tabell4[[#This Row],[UTV]]*2)+Tabell4[[#This Row],[VAR]]</f>
        <v>1</v>
      </c>
      <c r="P82" s="12">
        <f>COUNTIF('100%'!B:B,Tabell4[[#This Row],[Namn]])</f>
        <v>0</v>
      </c>
      <c r="Q82" s="12">
        <f>_xlfn.XLOOKUP(Tabell4[[#This Row],[Namn]],Blad3!A:A,Blad3!B:B)</f>
        <v>0</v>
      </c>
      <c r="R82" s="12">
        <f>_xlfn.XLOOKUP(Tabell4[[#This Row],[Namn]],Blad3!A:A,Blad3!C:C)</f>
        <v>0</v>
      </c>
      <c r="S82" s="12">
        <f>_xlfn.XLOOKUP(Tabell4[[#This Row],[Namn]],Blad3!A:A,Blad3!D:D)</f>
        <v>0</v>
      </c>
      <c r="T82" s="12">
        <f>_xlfn.XLOOKUP(Tabell4[[#This Row],[Namn]],Blad3!A:A,Blad3!E:E)</f>
        <v>22</v>
      </c>
      <c r="U82" s="12">
        <f>RANK(Tabell4[[#This Row],[SÄS]],Tabell4[SÄS])</f>
        <v>61</v>
      </c>
      <c r="V82" s="12">
        <f>_xlfn.XLOOKUP(Tabell4[[#This Row],[Namn]],Blad3!H:H,Blad3!I:I)</f>
        <v>0</v>
      </c>
      <c r="W82" s="12">
        <f>_xlfn.XLOOKUP(Tabell4[[#This Row],[Namn]],Blad3!H:H,Blad3!J:J)</f>
        <v>0</v>
      </c>
      <c r="X82" s="12">
        <f>_xlfn.XLOOKUP(Tabell4[[#This Row],[Namn]],Blad3!H:H,Blad3!K:K)</f>
        <v>0</v>
      </c>
      <c r="Y82" s="12">
        <f>_xlfn.XLOOKUP(Tabell4[[#This Row],[Namn]],Blad3!H:H,Blad3!L:L)</f>
        <v>4</v>
      </c>
    </row>
    <row r="83" spans="1:25" x14ac:dyDescent="0.25">
      <c r="A83" s="15">
        <f>Tabell4[[#This Row],[RANK MATCHER]]</f>
        <v>65</v>
      </c>
      <c r="B83" s="11" t="s">
        <v>177</v>
      </c>
      <c r="C83" s="12">
        <f>SUMIF('ALLA ÅR'!B:B,Tabell4[[#This Row],[Namn]],'ALLA ÅR'!C:C)</f>
        <v>22</v>
      </c>
      <c r="D83" s="12">
        <f>SUMIF('ALLA ÅR'!B:B,Tabell4[[#This Row],[Namn]],'ALLA ÅR'!E:E)</f>
        <v>0</v>
      </c>
      <c r="E83" s="12">
        <f>SUMIF('ALLA ÅR'!B:B,Tabell4[[#This Row],[Namn]],'ALLA ÅR'!F:F)</f>
        <v>0</v>
      </c>
      <c r="F83" s="12">
        <f>SUMIF('ALLA ÅR'!B:B,Tabell4[[#This Row],[Namn]],'ALLA ÅR'!G:G)</f>
        <v>1</v>
      </c>
      <c r="G83" s="12">
        <f>VLOOKUP(Tabell4[[#This Row],[Namn]],'ALLA ÅR'!B:J,9,0)</f>
        <v>2013</v>
      </c>
      <c r="H83" s="12">
        <f>COUNTIF('ALLA ÅR'!B:B,Tabell4[[#This Row],[Namn]])</f>
        <v>2</v>
      </c>
      <c r="I83" s="12">
        <f>VLOOKUP(Tabell4[[#This Row],[Namn]],'ALLA ÅR'!B:L,11,0)</f>
        <v>17</v>
      </c>
      <c r="J83" s="12">
        <f>RANK(Tabell4[[#This Row],[MÅL]],F:F)</f>
        <v>67</v>
      </c>
      <c r="K83" s="12">
        <f>RANK(Tabell4[[#This Row],[VAR]],D:D)</f>
        <v>54</v>
      </c>
      <c r="L83" s="12">
        <f>RANK(Tabell4[[#This Row],[MAT]],C:C)</f>
        <v>65</v>
      </c>
      <c r="M83" s="14">
        <f>Tabell4[[#This Row],[MAT]]/Tabell4[[#This Row],[ANTAL MATCHER]]</f>
        <v>0.6875</v>
      </c>
      <c r="N83" s="12">
        <f>SUMIF('ALLA ÅR'!B:B,Tabell4[[#This Row],[Namn]],'ALLA ÅR'!H:H)</f>
        <v>32</v>
      </c>
      <c r="O83" s="12">
        <f>(Tabell4[[#This Row],[UTV]]*2)+Tabell4[[#This Row],[VAR]]</f>
        <v>0</v>
      </c>
      <c r="P83" s="12">
        <f>COUNTIF('100%'!B:B,Tabell4[[#This Row],[Namn]])</f>
        <v>0</v>
      </c>
      <c r="Q83" s="12">
        <f>_xlfn.XLOOKUP(Tabell4[[#This Row],[Namn]],Blad3!A:A,Blad3!B:B)</f>
        <v>0</v>
      </c>
      <c r="R83" s="12">
        <f>_xlfn.XLOOKUP(Tabell4[[#This Row],[Namn]],Blad3!A:A,Blad3!C:C)</f>
        <v>0</v>
      </c>
      <c r="S83" s="12">
        <f>_xlfn.XLOOKUP(Tabell4[[#This Row],[Namn]],Blad3!A:A,Blad3!D:D)</f>
        <v>0</v>
      </c>
      <c r="T83" s="12">
        <f>_xlfn.XLOOKUP(Tabell4[[#This Row],[Namn]],Blad3!A:A,Blad3!E:E)</f>
        <v>22</v>
      </c>
      <c r="U83" s="12">
        <f>RANK(Tabell4[[#This Row],[SÄS]],Tabell4[SÄS])</f>
        <v>61</v>
      </c>
      <c r="V83" s="12">
        <f>_xlfn.XLOOKUP(Tabell4[[#This Row],[Namn]],Blad3!H:H,Blad3!I:I)</f>
        <v>0</v>
      </c>
      <c r="W83" s="12">
        <f>_xlfn.XLOOKUP(Tabell4[[#This Row],[Namn]],Blad3!H:H,Blad3!J:J)</f>
        <v>0</v>
      </c>
      <c r="X83" s="12">
        <f>_xlfn.XLOOKUP(Tabell4[[#This Row],[Namn]],Blad3!H:H,Blad3!K:K)</f>
        <v>0</v>
      </c>
      <c r="Y83" s="12">
        <f>_xlfn.XLOOKUP(Tabell4[[#This Row],[Namn]],Blad3!H:H,Blad3!L:L)</f>
        <v>1</v>
      </c>
    </row>
    <row r="84" spans="1:25" x14ac:dyDescent="0.25">
      <c r="A84" s="15">
        <f>Tabell4[[#This Row],[RANK MATCHER]]</f>
        <v>70</v>
      </c>
      <c r="B84" s="11" t="s">
        <v>39</v>
      </c>
      <c r="C84" s="12">
        <f>SUMIF('ALLA ÅR'!B:B,Tabell4[[#This Row],[Namn]],'ALLA ÅR'!C:C)</f>
        <v>21</v>
      </c>
      <c r="D84" s="12">
        <f>SUMIF('ALLA ÅR'!B:B,Tabell4[[#This Row],[Namn]],'ALLA ÅR'!E:E)</f>
        <v>2</v>
      </c>
      <c r="E84" s="12">
        <f>SUMIF('ALLA ÅR'!B:B,Tabell4[[#This Row],[Namn]],'ALLA ÅR'!F:F)</f>
        <v>1</v>
      </c>
      <c r="F84" s="12">
        <f>SUMIF('ALLA ÅR'!B:B,Tabell4[[#This Row],[Namn]],'ALLA ÅR'!G:G)</f>
        <v>1</v>
      </c>
      <c r="G84" s="12">
        <f>VLOOKUP(Tabell4[[#This Row],[Namn]],'ALLA ÅR'!B:J,9,0)</f>
        <v>2026</v>
      </c>
      <c r="H84" s="12">
        <f>COUNTIF('ALLA ÅR'!B:B,Tabell4[[#This Row],[Namn]])</f>
        <v>2</v>
      </c>
      <c r="I84" s="12">
        <f>VLOOKUP(Tabell4[[#This Row],[Namn]],'ALLA ÅR'!B:L,11,0)</f>
        <v>24</v>
      </c>
      <c r="J84" s="12">
        <f>RANK(Tabell4[[#This Row],[MÅL]],F:F)</f>
        <v>67</v>
      </c>
      <c r="K84" s="12">
        <f>RANK(Tabell4[[#This Row],[VAR]],D:D)</f>
        <v>19</v>
      </c>
      <c r="L84" s="12">
        <f>RANK(Tabell4[[#This Row],[MAT]],C:C)</f>
        <v>70</v>
      </c>
      <c r="M84" s="14">
        <f>Tabell4[[#This Row],[MAT]]/Tabell4[[#This Row],[ANTAL MATCHER]]</f>
        <v>0.63636363636363635</v>
      </c>
      <c r="N84" s="12">
        <f>SUMIF('ALLA ÅR'!B:B,Tabell4[[#This Row],[Namn]],'ALLA ÅR'!H:H)</f>
        <v>33</v>
      </c>
      <c r="O84" s="12">
        <f>(Tabell4[[#This Row],[UTV]]*2)+Tabell4[[#This Row],[VAR]]</f>
        <v>4</v>
      </c>
      <c r="P84" s="12">
        <f>COUNTIF('100%'!B:B,Tabell4[[#This Row],[Namn]])</f>
        <v>0</v>
      </c>
      <c r="Q84" s="12">
        <f>_xlfn.XLOOKUP(Tabell4[[#This Row],[Namn]],Blad3!A:A,Blad3!B:B)</f>
        <v>0</v>
      </c>
      <c r="R84" s="12">
        <f>_xlfn.XLOOKUP(Tabell4[[#This Row],[Namn]],Blad3!A:A,Blad3!C:C)</f>
        <v>21</v>
      </c>
      <c r="S84" s="12">
        <f>_xlfn.XLOOKUP(Tabell4[[#This Row],[Namn]],Blad3!A:A,Blad3!D:D)</f>
        <v>0</v>
      </c>
      <c r="T84" s="12">
        <f>_xlfn.XLOOKUP(Tabell4[[#This Row],[Namn]],Blad3!A:A,Blad3!E:E)</f>
        <v>0</v>
      </c>
      <c r="U84" s="12">
        <f>RANK(Tabell4[[#This Row],[SÄS]],Tabell4[SÄS])</f>
        <v>61</v>
      </c>
      <c r="V84" s="12">
        <f>_xlfn.XLOOKUP(Tabell4[[#This Row],[Namn]],Blad3!H:H,Blad3!I:I)</f>
        <v>0</v>
      </c>
      <c r="W84" s="12">
        <f>_xlfn.XLOOKUP(Tabell4[[#This Row],[Namn]],Blad3!H:H,Blad3!J:J)</f>
        <v>1</v>
      </c>
      <c r="X84" s="12">
        <f>_xlfn.XLOOKUP(Tabell4[[#This Row],[Namn]],Blad3!H:H,Blad3!K:K)</f>
        <v>0</v>
      </c>
      <c r="Y84" s="12">
        <f>_xlfn.XLOOKUP(Tabell4[[#This Row],[Namn]],Blad3!H:H,Blad3!L:L)</f>
        <v>0</v>
      </c>
    </row>
    <row r="85" spans="1:25" x14ac:dyDescent="0.25">
      <c r="A85" s="15">
        <f>Tabell4[[#This Row],[RANK MATCHER]]</f>
        <v>70</v>
      </c>
      <c r="B85" s="11" t="s">
        <v>60</v>
      </c>
      <c r="C85" s="12">
        <f>SUMIF('ALLA ÅR'!B:B,Tabell4[[#This Row],[Namn]],'ALLA ÅR'!C:C)</f>
        <v>21</v>
      </c>
      <c r="D85" s="12">
        <f>SUMIF('ALLA ÅR'!B:B,Tabell4[[#This Row],[Namn]],'ALLA ÅR'!E:E)</f>
        <v>1</v>
      </c>
      <c r="E85" s="12">
        <f>SUMIF('ALLA ÅR'!B:B,Tabell4[[#This Row],[Namn]],'ALLA ÅR'!F:F)</f>
        <v>0</v>
      </c>
      <c r="F85" s="12">
        <f>SUMIF('ALLA ÅR'!B:B,Tabell4[[#This Row],[Namn]],'ALLA ÅR'!G:G)</f>
        <v>0</v>
      </c>
      <c r="G85" s="12">
        <f>VLOOKUP(Tabell4[[#This Row],[Namn]],'ALLA ÅR'!B:J,9,0)</f>
        <v>2024</v>
      </c>
      <c r="H85" s="12">
        <f>COUNTIF('ALLA ÅR'!B:B,Tabell4[[#This Row],[Namn]])</f>
        <v>1</v>
      </c>
      <c r="I85" s="12">
        <f>VLOOKUP(Tabell4[[#This Row],[Namn]],'ALLA ÅR'!B:L,11,0)</f>
        <v>18</v>
      </c>
      <c r="J85" s="12">
        <f>RANK(Tabell4[[#This Row],[MÅL]],F:F)</f>
        <v>107</v>
      </c>
      <c r="K85" s="12">
        <f>RANK(Tabell4[[#This Row],[VAR]],D:D)</f>
        <v>27</v>
      </c>
      <c r="L85" s="12">
        <f>RANK(Tabell4[[#This Row],[MAT]],C:C)</f>
        <v>70</v>
      </c>
      <c r="M85" s="14">
        <f>Tabell4[[#This Row],[MAT]]/Tabell4[[#This Row],[ANTAL MATCHER]]</f>
        <v>0.72413793103448276</v>
      </c>
      <c r="N85" s="12">
        <f>SUMIF('ALLA ÅR'!B:B,Tabell4[[#This Row],[Namn]],'ALLA ÅR'!H:H)</f>
        <v>29</v>
      </c>
      <c r="O85" s="12">
        <f>(Tabell4[[#This Row],[UTV]]*2)+Tabell4[[#This Row],[VAR]]</f>
        <v>1</v>
      </c>
      <c r="P85" s="12">
        <f>COUNTIF('100%'!B:B,Tabell4[[#This Row],[Namn]])</f>
        <v>0</v>
      </c>
      <c r="Q85" s="12">
        <f>_xlfn.XLOOKUP(Tabell4[[#This Row],[Namn]],Blad3!A:A,Blad3!B:B)</f>
        <v>0</v>
      </c>
      <c r="R85" s="12">
        <f>_xlfn.XLOOKUP(Tabell4[[#This Row],[Namn]],Blad3!A:A,Blad3!C:C)</f>
        <v>21</v>
      </c>
      <c r="S85" s="12">
        <f>_xlfn.XLOOKUP(Tabell4[[#This Row],[Namn]],Blad3!A:A,Blad3!D:D)</f>
        <v>0</v>
      </c>
      <c r="T85" s="12">
        <f>_xlfn.XLOOKUP(Tabell4[[#This Row],[Namn]],Blad3!A:A,Blad3!E:E)</f>
        <v>0</v>
      </c>
      <c r="U85" s="12">
        <f>RANK(Tabell4[[#This Row],[SÄS]],Tabell4[SÄS])</f>
        <v>114</v>
      </c>
      <c r="V85" s="12">
        <f>_xlfn.XLOOKUP(Tabell4[[#This Row],[Namn]],Blad3!H:H,Blad3!I:I)</f>
        <v>0</v>
      </c>
      <c r="W85" s="12">
        <f>_xlfn.XLOOKUP(Tabell4[[#This Row],[Namn]],Blad3!H:H,Blad3!J:J)</f>
        <v>0</v>
      </c>
      <c r="X85" s="12">
        <f>_xlfn.XLOOKUP(Tabell4[[#This Row],[Namn]],Blad3!H:H,Blad3!K:K)</f>
        <v>0</v>
      </c>
      <c r="Y85" s="12">
        <f>_xlfn.XLOOKUP(Tabell4[[#This Row],[Namn]],Blad3!H:H,Blad3!L:L)</f>
        <v>0</v>
      </c>
    </row>
    <row r="86" spans="1:25" x14ac:dyDescent="0.25">
      <c r="A86" s="15">
        <f>Tabell4[[#This Row],[RANK MATCHER]]</f>
        <v>70</v>
      </c>
      <c r="B86" s="11" t="s">
        <v>76</v>
      </c>
      <c r="C86" s="12">
        <f>SUMIF('ALLA ÅR'!B:B,Tabell4[[#This Row],[Namn]],'ALLA ÅR'!C:C)</f>
        <v>21</v>
      </c>
      <c r="D86" s="12">
        <f>SUMIF('ALLA ÅR'!B:B,Tabell4[[#This Row],[Namn]],'ALLA ÅR'!E:E)</f>
        <v>1</v>
      </c>
      <c r="E86" s="12">
        <f>SUMIF('ALLA ÅR'!B:B,Tabell4[[#This Row],[Namn]],'ALLA ÅR'!F:F)</f>
        <v>0</v>
      </c>
      <c r="F86" s="12">
        <f>SUMIF('ALLA ÅR'!B:B,Tabell4[[#This Row],[Namn]],'ALLA ÅR'!G:G)</f>
        <v>2</v>
      </c>
      <c r="G86" s="12">
        <f>VLOOKUP(Tabell4[[#This Row],[Namn]],'ALLA ÅR'!B:J,9,0)</f>
        <v>2023</v>
      </c>
      <c r="H86" s="12">
        <f>COUNTIF('ALLA ÅR'!B:B,Tabell4[[#This Row],[Namn]])</f>
        <v>2</v>
      </c>
      <c r="I86" s="12">
        <f>VLOOKUP(Tabell4[[#This Row],[Namn]],'ALLA ÅR'!B:L,11,0)</f>
        <v>32</v>
      </c>
      <c r="J86" s="12">
        <f>RANK(Tabell4[[#This Row],[MÅL]],F:F)</f>
        <v>59</v>
      </c>
      <c r="K86" s="12">
        <f>RANK(Tabell4[[#This Row],[VAR]],D:D)</f>
        <v>27</v>
      </c>
      <c r="L86" s="12">
        <f>RANK(Tabell4[[#This Row],[MAT]],C:C)</f>
        <v>70</v>
      </c>
      <c r="M86" s="14">
        <f>Tabell4[[#This Row],[MAT]]/Tabell4[[#This Row],[ANTAL MATCHER]]</f>
        <v>0.41176470588235292</v>
      </c>
      <c r="N86" s="12">
        <f>SUMIF('ALLA ÅR'!B:B,Tabell4[[#This Row],[Namn]],'ALLA ÅR'!H:H)</f>
        <v>51</v>
      </c>
      <c r="O86" s="12">
        <f>(Tabell4[[#This Row],[UTV]]*2)+Tabell4[[#This Row],[VAR]]</f>
        <v>1</v>
      </c>
      <c r="P86" s="12">
        <f>COUNTIF('100%'!B:B,Tabell4[[#This Row],[Namn]])</f>
        <v>0</v>
      </c>
      <c r="Q86" s="12">
        <f>_xlfn.XLOOKUP(Tabell4[[#This Row],[Namn]],Blad3!A:A,Blad3!B:B)</f>
        <v>0</v>
      </c>
      <c r="R86" s="12">
        <f>_xlfn.XLOOKUP(Tabell4[[#This Row],[Namn]],Blad3!A:A,Blad3!C:C)</f>
        <v>21</v>
      </c>
      <c r="S86" s="12">
        <f>_xlfn.XLOOKUP(Tabell4[[#This Row],[Namn]],Blad3!A:A,Blad3!D:D)</f>
        <v>0</v>
      </c>
      <c r="T86" s="12">
        <f>_xlfn.XLOOKUP(Tabell4[[#This Row],[Namn]],Blad3!A:A,Blad3!E:E)</f>
        <v>0</v>
      </c>
      <c r="U86" s="12">
        <f>RANK(Tabell4[[#This Row],[SÄS]],Tabell4[SÄS])</f>
        <v>61</v>
      </c>
      <c r="V86" s="12">
        <f>_xlfn.XLOOKUP(Tabell4[[#This Row],[Namn]],Blad3!H:H,Blad3!I:I)</f>
        <v>0</v>
      </c>
      <c r="W86" s="12">
        <f>_xlfn.XLOOKUP(Tabell4[[#This Row],[Namn]],Blad3!H:H,Blad3!J:J)</f>
        <v>2</v>
      </c>
      <c r="X86" s="12">
        <f>_xlfn.XLOOKUP(Tabell4[[#This Row],[Namn]],Blad3!H:H,Blad3!K:K)</f>
        <v>0</v>
      </c>
      <c r="Y86" s="12">
        <f>_xlfn.XLOOKUP(Tabell4[[#This Row],[Namn]],Blad3!H:H,Blad3!L:L)</f>
        <v>0</v>
      </c>
    </row>
    <row r="87" spans="1:25" x14ac:dyDescent="0.25">
      <c r="A87" s="15">
        <f>Tabell4[[#This Row],[RANK MATCHER]]</f>
        <v>70</v>
      </c>
      <c r="B87" s="11" t="s">
        <v>194</v>
      </c>
      <c r="C87" s="12">
        <f>SUMIF('ALLA ÅR'!B:B,Tabell4[[#This Row],[Namn]],'ALLA ÅR'!C:C)</f>
        <v>21</v>
      </c>
      <c r="D87" s="12">
        <f>SUMIF('ALLA ÅR'!B:B,Tabell4[[#This Row],[Namn]],'ALLA ÅR'!E:E)</f>
        <v>2</v>
      </c>
      <c r="E87" s="12">
        <f>SUMIF('ALLA ÅR'!B:B,Tabell4[[#This Row],[Namn]],'ALLA ÅR'!F:F)</f>
        <v>0</v>
      </c>
      <c r="F87" s="12">
        <f>SUMIF('ALLA ÅR'!B:B,Tabell4[[#This Row],[Namn]],'ALLA ÅR'!G:G)</f>
        <v>10</v>
      </c>
      <c r="G87" s="12">
        <f>VLOOKUP(Tabell4[[#This Row],[Namn]],'ALLA ÅR'!B:J,9,0)</f>
        <v>2011</v>
      </c>
      <c r="H87" s="12">
        <f>COUNTIF('ALLA ÅR'!B:B,Tabell4[[#This Row],[Namn]])</f>
        <v>2</v>
      </c>
      <c r="I87" s="12">
        <f>VLOOKUP(Tabell4[[#This Row],[Namn]],'ALLA ÅR'!B:L,11,0)</f>
        <v>19</v>
      </c>
      <c r="J87" s="12">
        <f>RANK(Tabell4[[#This Row],[MÅL]],F:F)</f>
        <v>23</v>
      </c>
      <c r="K87" s="12">
        <f>RANK(Tabell4[[#This Row],[VAR]],D:D)</f>
        <v>19</v>
      </c>
      <c r="L87" s="12">
        <f>RANK(Tabell4[[#This Row],[MAT]],C:C)</f>
        <v>70</v>
      </c>
      <c r="M87" s="14">
        <f>Tabell4[[#This Row],[MAT]]/Tabell4[[#This Row],[ANTAL MATCHER]]</f>
        <v>0.45652173913043476</v>
      </c>
      <c r="N87" s="12">
        <f>SUMIF('ALLA ÅR'!B:B,Tabell4[[#This Row],[Namn]],'ALLA ÅR'!H:H)</f>
        <v>46</v>
      </c>
      <c r="O87" s="12">
        <f>(Tabell4[[#This Row],[UTV]]*2)+Tabell4[[#This Row],[VAR]]</f>
        <v>2</v>
      </c>
      <c r="P87" s="12">
        <f>COUNTIF('100%'!B:B,Tabell4[[#This Row],[Namn]])</f>
        <v>0</v>
      </c>
      <c r="Q87" s="12">
        <f>_xlfn.XLOOKUP(Tabell4[[#This Row],[Namn]],Blad3!A:A,Blad3!B:B)</f>
        <v>0</v>
      </c>
      <c r="R87" s="12">
        <f>_xlfn.XLOOKUP(Tabell4[[#This Row],[Namn]],Blad3!A:A,Blad3!C:C)</f>
        <v>0</v>
      </c>
      <c r="S87" s="12">
        <f>_xlfn.XLOOKUP(Tabell4[[#This Row],[Namn]],Blad3!A:A,Blad3!D:D)</f>
        <v>21</v>
      </c>
      <c r="T87" s="12">
        <f>_xlfn.XLOOKUP(Tabell4[[#This Row],[Namn]],Blad3!A:A,Blad3!E:E)</f>
        <v>0</v>
      </c>
      <c r="U87" s="12">
        <f>RANK(Tabell4[[#This Row],[SÄS]],Tabell4[SÄS])</f>
        <v>61</v>
      </c>
      <c r="V87" s="12">
        <f>_xlfn.XLOOKUP(Tabell4[[#This Row],[Namn]],Blad3!H:H,Blad3!I:I)</f>
        <v>0</v>
      </c>
      <c r="W87" s="12">
        <f>_xlfn.XLOOKUP(Tabell4[[#This Row],[Namn]],Blad3!H:H,Blad3!J:J)</f>
        <v>0</v>
      </c>
      <c r="X87" s="12">
        <f>_xlfn.XLOOKUP(Tabell4[[#This Row],[Namn]],Blad3!H:H,Blad3!K:K)</f>
        <v>10</v>
      </c>
      <c r="Y87" s="12">
        <f>_xlfn.XLOOKUP(Tabell4[[#This Row],[Namn]],Blad3!H:H,Blad3!L:L)</f>
        <v>0</v>
      </c>
    </row>
    <row r="88" spans="1:25" x14ac:dyDescent="0.25">
      <c r="A88" s="15">
        <f>Tabell4[[#This Row],[RANK MATCHER]]</f>
        <v>74</v>
      </c>
      <c r="B88" s="11" t="s">
        <v>122</v>
      </c>
      <c r="C88" s="12">
        <f>SUMIF('ALLA ÅR'!B:B,Tabell4[[#This Row],[Namn]],'ALLA ÅR'!C:C)</f>
        <v>20</v>
      </c>
      <c r="D88" s="12">
        <f>SUMIF('ALLA ÅR'!B:B,Tabell4[[#This Row],[Namn]],'ALLA ÅR'!E:E)</f>
        <v>0</v>
      </c>
      <c r="E88" s="12">
        <f>SUMIF('ALLA ÅR'!B:B,Tabell4[[#This Row],[Namn]],'ALLA ÅR'!F:F)</f>
        <v>0</v>
      </c>
      <c r="F88" s="12">
        <f>SUMIF('ALLA ÅR'!B:B,Tabell4[[#This Row],[Namn]],'ALLA ÅR'!G:G)</f>
        <v>0</v>
      </c>
      <c r="G88" s="12">
        <f>VLOOKUP(Tabell4[[#This Row],[Namn]],'ALLA ÅR'!B:J,9,0)</f>
        <v>2017</v>
      </c>
      <c r="H88" s="12">
        <f>COUNTIF('ALLA ÅR'!B:B,Tabell4[[#This Row],[Namn]])</f>
        <v>2</v>
      </c>
      <c r="I88" s="12">
        <f>VLOOKUP(Tabell4[[#This Row],[Namn]],'ALLA ÅR'!B:L,11,0)</f>
        <v>19</v>
      </c>
      <c r="J88" s="12">
        <f>RANK(Tabell4[[#This Row],[MÅL]],F:F)</f>
        <v>107</v>
      </c>
      <c r="K88" s="12">
        <f>RANK(Tabell4[[#This Row],[VAR]],D:D)</f>
        <v>54</v>
      </c>
      <c r="L88" s="12">
        <f>RANK(Tabell4[[#This Row],[MAT]],C:C)</f>
        <v>74</v>
      </c>
      <c r="M88" s="14">
        <f>Tabell4[[#This Row],[MAT]]/Tabell4[[#This Row],[ANTAL MATCHER]]</f>
        <v>0.625</v>
      </c>
      <c r="N88" s="12">
        <f>SUMIF('ALLA ÅR'!B:B,Tabell4[[#This Row],[Namn]],'ALLA ÅR'!H:H)</f>
        <v>32</v>
      </c>
      <c r="O88" s="12">
        <f>(Tabell4[[#This Row],[UTV]]*2)+Tabell4[[#This Row],[VAR]]</f>
        <v>0</v>
      </c>
      <c r="P88" s="12">
        <f>COUNTIF('100%'!B:B,Tabell4[[#This Row],[Namn]])</f>
        <v>0</v>
      </c>
      <c r="Q88" s="12">
        <f>_xlfn.XLOOKUP(Tabell4[[#This Row],[Namn]],Blad3!A:A,Blad3!B:B)</f>
        <v>0</v>
      </c>
      <c r="R88" s="12">
        <f>_xlfn.XLOOKUP(Tabell4[[#This Row],[Namn]],Blad3!A:A,Blad3!C:C)</f>
        <v>0</v>
      </c>
      <c r="S88" s="12">
        <f>_xlfn.XLOOKUP(Tabell4[[#This Row],[Namn]],Blad3!A:A,Blad3!D:D)</f>
        <v>8</v>
      </c>
      <c r="T88" s="12">
        <f>_xlfn.XLOOKUP(Tabell4[[#This Row],[Namn]],Blad3!A:A,Blad3!E:E)</f>
        <v>12</v>
      </c>
      <c r="U88" s="12">
        <f>RANK(Tabell4[[#This Row],[SÄS]],Tabell4[SÄS])</f>
        <v>61</v>
      </c>
      <c r="V88" s="12">
        <f>_xlfn.XLOOKUP(Tabell4[[#This Row],[Namn]],Blad3!H:H,Blad3!I:I)</f>
        <v>0</v>
      </c>
      <c r="W88" s="12">
        <f>_xlfn.XLOOKUP(Tabell4[[#This Row],[Namn]],Blad3!H:H,Blad3!J:J)</f>
        <v>0</v>
      </c>
      <c r="X88" s="12">
        <f>_xlfn.XLOOKUP(Tabell4[[#This Row],[Namn]],Blad3!H:H,Blad3!K:K)</f>
        <v>0</v>
      </c>
      <c r="Y88" s="12">
        <f>_xlfn.XLOOKUP(Tabell4[[#This Row],[Namn]],Blad3!H:H,Blad3!L:L)</f>
        <v>0</v>
      </c>
    </row>
    <row r="89" spans="1:25" x14ac:dyDescent="0.25">
      <c r="A89" s="15">
        <f>Tabell4[[#This Row],[RANK MATCHER]]</f>
        <v>74</v>
      </c>
      <c r="B89" s="11" t="s">
        <v>138</v>
      </c>
      <c r="C89" s="12">
        <f>SUMIF('ALLA ÅR'!B:B,Tabell4[[#This Row],[Namn]],'ALLA ÅR'!C:C)</f>
        <v>20</v>
      </c>
      <c r="D89" s="12">
        <f>SUMIF('ALLA ÅR'!B:B,Tabell4[[#This Row],[Namn]],'ALLA ÅR'!E:E)</f>
        <v>0</v>
      </c>
      <c r="E89" s="12">
        <f>SUMIF('ALLA ÅR'!B:B,Tabell4[[#This Row],[Namn]],'ALLA ÅR'!F:F)</f>
        <v>0</v>
      </c>
      <c r="F89" s="12">
        <f>SUMIF('ALLA ÅR'!B:B,Tabell4[[#This Row],[Namn]],'ALLA ÅR'!G:G)</f>
        <v>4</v>
      </c>
      <c r="G89" s="12">
        <f>VLOOKUP(Tabell4[[#This Row],[Namn]],'ALLA ÅR'!B:J,9,0)</f>
        <v>2016</v>
      </c>
      <c r="H89" s="12">
        <f>COUNTIF('ALLA ÅR'!B:B,Tabell4[[#This Row],[Namn]])</f>
        <v>2</v>
      </c>
      <c r="I89" s="12">
        <f>VLOOKUP(Tabell4[[#This Row],[Namn]],'ALLA ÅR'!B:L,11,0)</f>
        <v>20</v>
      </c>
      <c r="J89" s="12">
        <f>RANK(Tabell4[[#This Row],[MÅL]],F:F)</f>
        <v>41</v>
      </c>
      <c r="K89" s="12">
        <f>RANK(Tabell4[[#This Row],[VAR]],D:D)</f>
        <v>54</v>
      </c>
      <c r="L89" s="12">
        <f>RANK(Tabell4[[#This Row],[MAT]],C:C)</f>
        <v>74</v>
      </c>
      <c r="M89" s="14">
        <f>Tabell4[[#This Row],[MAT]]/Tabell4[[#This Row],[ANTAL MATCHER]]</f>
        <v>0.58823529411764708</v>
      </c>
      <c r="N89" s="12">
        <f>SUMIF('ALLA ÅR'!B:B,Tabell4[[#This Row],[Namn]],'ALLA ÅR'!H:H)</f>
        <v>34</v>
      </c>
      <c r="O89" s="12">
        <f>(Tabell4[[#This Row],[UTV]]*2)+Tabell4[[#This Row],[VAR]]</f>
        <v>0</v>
      </c>
      <c r="P89" s="12">
        <f>COUNTIF('100%'!B:B,Tabell4[[#This Row],[Namn]])</f>
        <v>0</v>
      </c>
      <c r="Q89" s="12">
        <f>_xlfn.XLOOKUP(Tabell4[[#This Row],[Namn]],Blad3!A:A,Blad3!B:B)</f>
        <v>0</v>
      </c>
      <c r="R89" s="12">
        <f>_xlfn.XLOOKUP(Tabell4[[#This Row],[Namn]],Blad3!A:A,Blad3!C:C)</f>
        <v>0</v>
      </c>
      <c r="S89" s="12">
        <f>_xlfn.XLOOKUP(Tabell4[[#This Row],[Namn]],Blad3!A:A,Blad3!D:D)</f>
        <v>0</v>
      </c>
      <c r="T89" s="12">
        <f>_xlfn.XLOOKUP(Tabell4[[#This Row],[Namn]],Blad3!A:A,Blad3!E:E)</f>
        <v>20</v>
      </c>
      <c r="U89" s="12">
        <f>RANK(Tabell4[[#This Row],[SÄS]],Tabell4[SÄS])</f>
        <v>61</v>
      </c>
      <c r="V89" s="12">
        <f>_xlfn.XLOOKUP(Tabell4[[#This Row],[Namn]],Blad3!H:H,Blad3!I:I)</f>
        <v>0</v>
      </c>
      <c r="W89" s="12">
        <f>_xlfn.XLOOKUP(Tabell4[[#This Row],[Namn]],Blad3!H:H,Blad3!J:J)</f>
        <v>0</v>
      </c>
      <c r="X89" s="12">
        <f>_xlfn.XLOOKUP(Tabell4[[#This Row],[Namn]],Blad3!H:H,Blad3!K:K)</f>
        <v>0</v>
      </c>
      <c r="Y89" s="12">
        <f>_xlfn.XLOOKUP(Tabell4[[#This Row],[Namn]],Blad3!H:H,Blad3!L:L)</f>
        <v>4</v>
      </c>
    </row>
    <row r="90" spans="1:25" x14ac:dyDescent="0.25">
      <c r="A90" s="15">
        <f>Tabell4[[#This Row],[RANK MATCHER]]</f>
        <v>74</v>
      </c>
      <c r="B90" s="11" t="s">
        <v>199</v>
      </c>
      <c r="C90" s="12">
        <f>SUMIF('ALLA ÅR'!B:B,Tabell4[[#This Row],[Namn]],'ALLA ÅR'!C:C)</f>
        <v>20</v>
      </c>
      <c r="D90" s="12">
        <f>SUMIF('ALLA ÅR'!B:B,Tabell4[[#This Row],[Namn]],'ALLA ÅR'!E:E)</f>
        <v>3</v>
      </c>
      <c r="E90" s="12">
        <f>SUMIF('ALLA ÅR'!B:B,Tabell4[[#This Row],[Namn]],'ALLA ÅR'!F:F)</f>
        <v>0</v>
      </c>
      <c r="F90" s="12">
        <f>SUMIF('ALLA ÅR'!B:B,Tabell4[[#This Row],[Namn]],'ALLA ÅR'!G:G)</f>
        <v>0</v>
      </c>
      <c r="G90" s="12">
        <f>VLOOKUP(Tabell4[[#This Row],[Namn]],'ALLA ÅR'!B:J,9,0)</f>
        <v>2011</v>
      </c>
      <c r="H90" s="12">
        <f>COUNTIF('ALLA ÅR'!B:B,Tabell4[[#This Row],[Namn]])</f>
        <v>2</v>
      </c>
      <c r="I90" s="12">
        <f>VLOOKUP(Tabell4[[#This Row],[Namn]],'ALLA ÅR'!B:L,11,0)</f>
        <v>19</v>
      </c>
      <c r="J90" s="12">
        <f>RANK(Tabell4[[#This Row],[MÅL]],F:F)</f>
        <v>107</v>
      </c>
      <c r="K90" s="12">
        <f>RANK(Tabell4[[#This Row],[VAR]],D:D)</f>
        <v>10</v>
      </c>
      <c r="L90" s="12">
        <f>RANK(Tabell4[[#This Row],[MAT]],C:C)</f>
        <v>74</v>
      </c>
      <c r="M90" s="14">
        <f>Tabell4[[#This Row],[MAT]]/Tabell4[[#This Row],[ANTAL MATCHER]]</f>
        <v>0.43478260869565216</v>
      </c>
      <c r="N90" s="12">
        <f>SUMIF('ALLA ÅR'!B:B,Tabell4[[#This Row],[Namn]],'ALLA ÅR'!H:H)</f>
        <v>46</v>
      </c>
      <c r="O90" s="12">
        <f>(Tabell4[[#This Row],[UTV]]*2)+Tabell4[[#This Row],[VAR]]</f>
        <v>3</v>
      </c>
      <c r="P90" s="12">
        <f>COUNTIF('100%'!B:B,Tabell4[[#This Row],[Namn]])</f>
        <v>0</v>
      </c>
      <c r="Q90" s="12">
        <f>_xlfn.XLOOKUP(Tabell4[[#This Row],[Namn]],Blad3!A:A,Blad3!B:B)</f>
        <v>0</v>
      </c>
      <c r="R90" s="12">
        <f>_xlfn.XLOOKUP(Tabell4[[#This Row],[Namn]],Blad3!A:A,Blad3!C:C)</f>
        <v>0</v>
      </c>
      <c r="S90" s="12">
        <f>_xlfn.XLOOKUP(Tabell4[[#This Row],[Namn]],Blad3!A:A,Blad3!D:D)</f>
        <v>20</v>
      </c>
      <c r="T90" s="12">
        <f>_xlfn.XLOOKUP(Tabell4[[#This Row],[Namn]],Blad3!A:A,Blad3!E:E)</f>
        <v>0</v>
      </c>
      <c r="U90" s="12">
        <f>RANK(Tabell4[[#This Row],[SÄS]],Tabell4[SÄS])</f>
        <v>61</v>
      </c>
      <c r="V90" s="12">
        <f>_xlfn.XLOOKUP(Tabell4[[#This Row],[Namn]],Blad3!H:H,Blad3!I:I)</f>
        <v>0</v>
      </c>
      <c r="W90" s="12">
        <f>_xlfn.XLOOKUP(Tabell4[[#This Row],[Namn]],Blad3!H:H,Blad3!J:J)</f>
        <v>0</v>
      </c>
      <c r="X90" s="12">
        <f>_xlfn.XLOOKUP(Tabell4[[#This Row],[Namn]],Blad3!H:H,Blad3!K:K)</f>
        <v>0</v>
      </c>
      <c r="Y90" s="12">
        <f>_xlfn.XLOOKUP(Tabell4[[#This Row],[Namn]],Blad3!H:H,Blad3!L:L)</f>
        <v>0</v>
      </c>
    </row>
    <row r="91" spans="1:25" x14ac:dyDescent="0.25">
      <c r="A91" s="15">
        <f>Tabell4[[#This Row],[RANK MATCHER]]</f>
        <v>77</v>
      </c>
      <c r="B91" s="11" t="s">
        <v>85</v>
      </c>
      <c r="C91" s="12">
        <f>SUMIF('ALLA ÅR'!B:B,Tabell4[[#This Row],[Namn]],'ALLA ÅR'!C:C)</f>
        <v>19</v>
      </c>
      <c r="D91" s="12">
        <f>SUMIF('ALLA ÅR'!B:B,Tabell4[[#This Row],[Namn]],'ALLA ÅR'!E:E)</f>
        <v>1</v>
      </c>
      <c r="E91" s="12">
        <f>SUMIF('ALLA ÅR'!B:B,Tabell4[[#This Row],[Namn]],'ALLA ÅR'!F:F)</f>
        <v>0</v>
      </c>
      <c r="F91" s="12">
        <f>SUMIF('ALLA ÅR'!B:B,Tabell4[[#This Row],[Namn]],'ALLA ÅR'!G:G)</f>
        <v>9</v>
      </c>
      <c r="G91" s="12">
        <f>VLOOKUP(Tabell4[[#This Row],[Namn]],'ALLA ÅR'!B:J,9,0)</f>
        <v>2022</v>
      </c>
      <c r="H91" s="12">
        <f>COUNTIF('ALLA ÅR'!B:B,Tabell4[[#This Row],[Namn]])</f>
        <v>2</v>
      </c>
      <c r="I91" s="12">
        <f>VLOOKUP(Tabell4[[#This Row],[Namn]],'ALLA ÅR'!B:L,11,0)</f>
        <v>22</v>
      </c>
      <c r="J91" s="12">
        <f>RANK(Tabell4[[#This Row],[MÅL]],F:F)</f>
        <v>25</v>
      </c>
      <c r="K91" s="12">
        <f>RANK(Tabell4[[#This Row],[VAR]],D:D)</f>
        <v>27</v>
      </c>
      <c r="L91" s="12">
        <f>RANK(Tabell4[[#This Row],[MAT]],C:C)</f>
        <v>77</v>
      </c>
      <c r="M91" s="14">
        <f>Tabell4[[#This Row],[MAT]]/Tabell4[[#This Row],[ANTAL MATCHER]]</f>
        <v>0.40425531914893614</v>
      </c>
      <c r="N91" s="12">
        <f>SUMIF('ALLA ÅR'!B:B,Tabell4[[#This Row],[Namn]],'ALLA ÅR'!H:H)</f>
        <v>47</v>
      </c>
      <c r="O91" s="12">
        <f>(Tabell4[[#This Row],[UTV]]*2)+Tabell4[[#This Row],[VAR]]</f>
        <v>1</v>
      </c>
      <c r="P91" s="12">
        <f>COUNTIF('100%'!B:B,Tabell4[[#This Row],[Namn]])</f>
        <v>0</v>
      </c>
      <c r="Q91" s="12">
        <f>_xlfn.XLOOKUP(Tabell4[[#This Row],[Namn]],Blad3!A:A,Blad3!B:B)</f>
        <v>0</v>
      </c>
      <c r="R91" s="12">
        <f>_xlfn.XLOOKUP(Tabell4[[#This Row],[Namn]],Blad3!A:A,Blad3!C:C)</f>
        <v>19</v>
      </c>
      <c r="S91" s="12">
        <f>_xlfn.XLOOKUP(Tabell4[[#This Row],[Namn]],Blad3!A:A,Blad3!D:D)</f>
        <v>0</v>
      </c>
      <c r="T91" s="12">
        <f>_xlfn.XLOOKUP(Tabell4[[#This Row],[Namn]],Blad3!A:A,Blad3!E:E)</f>
        <v>0</v>
      </c>
      <c r="U91" s="12">
        <f>RANK(Tabell4[[#This Row],[SÄS]],Tabell4[SÄS])</f>
        <v>61</v>
      </c>
      <c r="V91" s="12">
        <f>_xlfn.XLOOKUP(Tabell4[[#This Row],[Namn]],Blad3!H:H,Blad3!I:I)</f>
        <v>0</v>
      </c>
      <c r="W91" s="12">
        <f>_xlfn.XLOOKUP(Tabell4[[#This Row],[Namn]],Blad3!H:H,Blad3!J:J)</f>
        <v>9</v>
      </c>
      <c r="X91" s="12">
        <f>_xlfn.XLOOKUP(Tabell4[[#This Row],[Namn]],Blad3!H:H,Blad3!K:K)</f>
        <v>0</v>
      </c>
      <c r="Y91" s="12">
        <f>_xlfn.XLOOKUP(Tabell4[[#This Row],[Namn]],Blad3!H:H,Blad3!L:L)</f>
        <v>0</v>
      </c>
    </row>
    <row r="92" spans="1:25" x14ac:dyDescent="0.25">
      <c r="A92" s="15">
        <f>Tabell4[[#This Row],[RANK MATCHER]]</f>
        <v>77</v>
      </c>
      <c r="B92" s="11" t="s">
        <v>106</v>
      </c>
      <c r="C92" s="12">
        <f>SUMIF('ALLA ÅR'!B:B,Tabell4[[#This Row],[Namn]],'ALLA ÅR'!C:C)</f>
        <v>19</v>
      </c>
      <c r="D92" s="12">
        <f>SUMIF('ALLA ÅR'!B:B,Tabell4[[#This Row],[Namn]],'ALLA ÅR'!E:E)</f>
        <v>0</v>
      </c>
      <c r="E92" s="12">
        <f>SUMIF('ALLA ÅR'!B:B,Tabell4[[#This Row],[Namn]],'ALLA ÅR'!F:F)</f>
        <v>0</v>
      </c>
      <c r="F92" s="12">
        <f>SUMIF('ALLA ÅR'!B:B,Tabell4[[#This Row],[Namn]],'ALLA ÅR'!G:G)</f>
        <v>8</v>
      </c>
      <c r="G92" s="12">
        <f>VLOOKUP(Tabell4[[#This Row],[Namn]],'ALLA ÅR'!B:J,9,0)</f>
        <v>2019</v>
      </c>
      <c r="H92" s="12">
        <f>COUNTIF('ALLA ÅR'!B:B,Tabell4[[#This Row],[Namn]])</f>
        <v>1</v>
      </c>
      <c r="I92" s="12">
        <f>VLOOKUP(Tabell4[[#This Row],[Namn]],'ALLA ÅR'!B:L,11,0)</f>
        <v>21</v>
      </c>
      <c r="J92" s="12">
        <f>RANK(Tabell4[[#This Row],[MÅL]],F:F)</f>
        <v>30</v>
      </c>
      <c r="K92" s="12">
        <f>RANK(Tabell4[[#This Row],[VAR]],D:D)</f>
        <v>54</v>
      </c>
      <c r="L92" s="12">
        <f>RANK(Tabell4[[#This Row],[MAT]],C:C)</f>
        <v>77</v>
      </c>
      <c r="M92" s="14">
        <f>Tabell4[[#This Row],[MAT]]/Tabell4[[#This Row],[ANTAL MATCHER]]</f>
        <v>0.73076923076923073</v>
      </c>
      <c r="N92" s="12">
        <f>SUMIF('ALLA ÅR'!B:B,Tabell4[[#This Row],[Namn]],'ALLA ÅR'!H:H)</f>
        <v>26</v>
      </c>
      <c r="O92" s="12">
        <f>(Tabell4[[#This Row],[UTV]]*2)+Tabell4[[#This Row],[VAR]]</f>
        <v>0</v>
      </c>
      <c r="P92" s="12">
        <f>COUNTIF('100%'!B:B,Tabell4[[#This Row],[Namn]])</f>
        <v>0</v>
      </c>
      <c r="Q92" s="12">
        <f>_xlfn.XLOOKUP(Tabell4[[#This Row],[Namn]],Blad3!A:A,Blad3!B:B)</f>
        <v>0</v>
      </c>
      <c r="R92" s="12">
        <f>_xlfn.XLOOKUP(Tabell4[[#This Row],[Namn]],Blad3!A:A,Blad3!C:C)</f>
        <v>19</v>
      </c>
      <c r="S92" s="12">
        <f>_xlfn.XLOOKUP(Tabell4[[#This Row],[Namn]],Blad3!A:A,Blad3!D:D)</f>
        <v>0</v>
      </c>
      <c r="T92" s="12">
        <f>_xlfn.XLOOKUP(Tabell4[[#This Row],[Namn]],Blad3!A:A,Blad3!E:E)</f>
        <v>0</v>
      </c>
      <c r="U92" s="12">
        <f>RANK(Tabell4[[#This Row],[SÄS]],Tabell4[SÄS])</f>
        <v>114</v>
      </c>
      <c r="V92" s="12">
        <f>_xlfn.XLOOKUP(Tabell4[[#This Row],[Namn]],Blad3!H:H,Blad3!I:I)</f>
        <v>0</v>
      </c>
      <c r="W92" s="12">
        <f>_xlfn.XLOOKUP(Tabell4[[#This Row],[Namn]],Blad3!H:H,Blad3!J:J)</f>
        <v>8</v>
      </c>
      <c r="X92" s="12">
        <f>_xlfn.XLOOKUP(Tabell4[[#This Row],[Namn]],Blad3!H:H,Blad3!K:K)</f>
        <v>0</v>
      </c>
      <c r="Y92" s="12">
        <f>_xlfn.XLOOKUP(Tabell4[[#This Row],[Namn]],Blad3!H:H,Blad3!L:L)</f>
        <v>0</v>
      </c>
    </row>
    <row r="93" spans="1:25" x14ac:dyDescent="0.25">
      <c r="A93" s="15">
        <f>Tabell4[[#This Row],[RANK MATCHER]]</f>
        <v>77</v>
      </c>
      <c r="B93" s="11" t="s">
        <v>150</v>
      </c>
      <c r="C93" s="12">
        <f>SUMIF('ALLA ÅR'!B:B,Tabell4[[#This Row],[Namn]],'ALLA ÅR'!C:C)</f>
        <v>19</v>
      </c>
      <c r="D93" s="12">
        <f>SUMIF('ALLA ÅR'!B:B,Tabell4[[#This Row],[Namn]],'ALLA ÅR'!E:E)</f>
        <v>0</v>
      </c>
      <c r="E93" s="12">
        <f>SUMIF('ALLA ÅR'!B:B,Tabell4[[#This Row],[Namn]],'ALLA ÅR'!F:F)</f>
        <v>0</v>
      </c>
      <c r="F93" s="12">
        <f>SUMIF('ALLA ÅR'!B:B,Tabell4[[#This Row],[Namn]],'ALLA ÅR'!G:G)</f>
        <v>0</v>
      </c>
      <c r="G93" s="12">
        <f>VLOOKUP(Tabell4[[#This Row],[Namn]],'ALLA ÅR'!B:J,9,0)</f>
        <v>2015</v>
      </c>
      <c r="H93" s="12">
        <f>COUNTIF('ALLA ÅR'!B:B,Tabell4[[#This Row],[Namn]])</f>
        <v>3</v>
      </c>
      <c r="I93" s="12">
        <f>VLOOKUP(Tabell4[[#This Row],[Namn]],'ALLA ÅR'!B:L,11,0)</f>
        <v>16</v>
      </c>
      <c r="J93" s="12">
        <f>RANK(Tabell4[[#This Row],[MÅL]],F:F)</f>
        <v>107</v>
      </c>
      <c r="K93" s="12">
        <f>RANK(Tabell4[[#This Row],[VAR]],D:D)</f>
        <v>54</v>
      </c>
      <c r="L93" s="12">
        <f>RANK(Tabell4[[#This Row],[MAT]],C:C)</f>
        <v>77</v>
      </c>
      <c r="M93" s="14">
        <f>Tabell4[[#This Row],[MAT]]/Tabell4[[#This Row],[ANTAL MATCHER]]</f>
        <v>0.35849056603773582</v>
      </c>
      <c r="N93" s="12">
        <f>SUMIF('ALLA ÅR'!B:B,Tabell4[[#This Row],[Namn]],'ALLA ÅR'!H:H)</f>
        <v>53</v>
      </c>
      <c r="O93" s="12">
        <f>(Tabell4[[#This Row],[UTV]]*2)+Tabell4[[#This Row],[VAR]]</f>
        <v>0</v>
      </c>
      <c r="P93" s="12">
        <f>COUNTIF('100%'!B:B,Tabell4[[#This Row],[Namn]])</f>
        <v>0</v>
      </c>
      <c r="Q93" s="12">
        <f>_xlfn.XLOOKUP(Tabell4[[#This Row],[Namn]],Blad3!A:A,Blad3!B:B)</f>
        <v>0</v>
      </c>
      <c r="R93" s="12">
        <f>_xlfn.XLOOKUP(Tabell4[[#This Row],[Namn]],Blad3!A:A,Blad3!C:C)</f>
        <v>0</v>
      </c>
      <c r="S93" s="12">
        <f>_xlfn.XLOOKUP(Tabell4[[#This Row],[Namn]],Blad3!A:A,Blad3!D:D)</f>
        <v>0</v>
      </c>
      <c r="T93" s="12">
        <f>_xlfn.XLOOKUP(Tabell4[[#This Row],[Namn]],Blad3!A:A,Blad3!E:E)</f>
        <v>19</v>
      </c>
      <c r="U93" s="12">
        <f>RANK(Tabell4[[#This Row],[SÄS]],Tabell4[SÄS])</f>
        <v>33</v>
      </c>
      <c r="V93" s="12">
        <f>_xlfn.XLOOKUP(Tabell4[[#This Row],[Namn]],Blad3!H:H,Blad3!I:I)</f>
        <v>0</v>
      </c>
      <c r="W93" s="12">
        <f>_xlfn.XLOOKUP(Tabell4[[#This Row],[Namn]],Blad3!H:H,Blad3!J:J)</f>
        <v>0</v>
      </c>
      <c r="X93" s="12">
        <f>_xlfn.XLOOKUP(Tabell4[[#This Row],[Namn]],Blad3!H:H,Blad3!K:K)</f>
        <v>0</v>
      </c>
      <c r="Y93" s="12">
        <f>_xlfn.XLOOKUP(Tabell4[[#This Row],[Namn]],Blad3!H:H,Blad3!L:L)</f>
        <v>0</v>
      </c>
    </row>
    <row r="94" spans="1:25" x14ac:dyDescent="0.25">
      <c r="A94" s="15">
        <f>Tabell4[[#This Row],[RANK MATCHER]]</f>
        <v>77</v>
      </c>
      <c r="B94" s="11" t="s">
        <v>161</v>
      </c>
      <c r="C94" s="12">
        <f>SUMIF('ALLA ÅR'!B:B,Tabell4[[#This Row],[Namn]],'ALLA ÅR'!C:C)</f>
        <v>19</v>
      </c>
      <c r="D94" s="12">
        <f>SUMIF('ALLA ÅR'!B:B,Tabell4[[#This Row],[Namn]],'ALLA ÅR'!E:E)</f>
        <v>0</v>
      </c>
      <c r="E94" s="12">
        <f>SUMIF('ALLA ÅR'!B:B,Tabell4[[#This Row],[Namn]],'ALLA ÅR'!F:F)</f>
        <v>0</v>
      </c>
      <c r="F94" s="12">
        <f>SUMIF('ALLA ÅR'!B:B,Tabell4[[#This Row],[Namn]],'ALLA ÅR'!G:G)</f>
        <v>0</v>
      </c>
      <c r="G94" s="12">
        <f>VLOOKUP(Tabell4[[#This Row],[Namn]],'ALLA ÅR'!B:J,9,0)</f>
        <v>2015</v>
      </c>
      <c r="H94" s="12">
        <f>COUNTIF('ALLA ÅR'!B:B,Tabell4[[#This Row],[Namn]])</f>
        <v>3</v>
      </c>
      <c r="I94" s="12">
        <f>VLOOKUP(Tabell4[[#This Row],[Namn]],'ALLA ÅR'!B:L,11,0)</f>
        <v>17</v>
      </c>
      <c r="J94" s="12">
        <f>RANK(Tabell4[[#This Row],[MÅL]],F:F)</f>
        <v>107</v>
      </c>
      <c r="K94" s="12">
        <f>RANK(Tabell4[[#This Row],[VAR]],D:D)</f>
        <v>54</v>
      </c>
      <c r="L94" s="12">
        <f>RANK(Tabell4[[#This Row],[MAT]],C:C)</f>
        <v>77</v>
      </c>
      <c r="M94" s="14">
        <f>Tabell4[[#This Row],[MAT]]/Tabell4[[#This Row],[ANTAL MATCHER]]</f>
        <v>0.35849056603773582</v>
      </c>
      <c r="N94" s="12">
        <f>SUMIF('ALLA ÅR'!B:B,Tabell4[[#This Row],[Namn]],'ALLA ÅR'!H:H)</f>
        <v>53</v>
      </c>
      <c r="O94" s="12">
        <f>(Tabell4[[#This Row],[UTV]]*2)+Tabell4[[#This Row],[VAR]]</f>
        <v>0</v>
      </c>
      <c r="P94" s="12">
        <f>COUNTIF('100%'!B:B,Tabell4[[#This Row],[Namn]])</f>
        <v>0</v>
      </c>
      <c r="Q94" s="12">
        <f>_xlfn.XLOOKUP(Tabell4[[#This Row],[Namn]],Blad3!A:A,Blad3!B:B)</f>
        <v>0</v>
      </c>
      <c r="R94" s="12">
        <f>_xlfn.XLOOKUP(Tabell4[[#This Row],[Namn]],Blad3!A:A,Blad3!C:C)</f>
        <v>0</v>
      </c>
      <c r="S94" s="12">
        <f>_xlfn.XLOOKUP(Tabell4[[#This Row],[Namn]],Blad3!A:A,Blad3!D:D)</f>
        <v>0</v>
      </c>
      <c r="T94" s="12">
        <f>_xlfn.XLOOKUP(Tabell4[[#This Row],[Namn]],Blad3!A:A,Blad3!E:E)</f>
        <v>19</v>
      </c>
      <c r="U94" s="12">
        <f>RANK(Tabell4[[#This Row],[SÄS]],Tabell4[SÄS])</f>
        <v>33</v>
      </c>
      <c r="V94" s="12">
        <f>_xlfn.XLOOKUP(Tabell4[[#This Row],[Namn]],Blad3!H:H,Blad3!I:I)</f>
        <v>0</v>
      </c>
      <c r="W94" s="12">
        <f>_xlfn.XLOOKUP(Tabell4[[#This Row],[Namn]],Blad3!H:H,Blad3!J:J)</f>
        <v>0</v>
      </c>
      <c r="X94" s="12">
        <f>_xlfn.XLOOKUP(Tabell4[[#This Row],[Namn]],Blad3!H:H,Blad3!K:K)</f>
        <v>0</v>
      </c>
      <c r="Y94" s="12">
        <f>_xlfn.XLOOKUP(Tabell4[[#This Row],[Namn]],Blad3!H:H,Blad3!L:L)</f>
        <v>0</v>
      </c>
    </row>
    <row r="95" spans="1:25" x14ac:dyDescent="0.25">
      <c r="A95" s="15">
        <f>Tabell4[[#This Row],[RANK MATCHER]]</f>
        <v>81</v>
      </c>
      <c r="B95" s="11" t="s">
        <v>124</v>
      </c>
      <c r="C95" s="12">
        <f>SUMIF('ALLA ÅR'!B:B,Tabell4[[#This Row],[Namn]],'ALLA ÅR'!C:C)</f>
        <v>18</v>
      </c>
      <c r="D95" s="12">
        <f>SUMIF('ALLA ÅR'!B:B,Tabell4[[#This Row],[Namn]],'ALLA ÅR'!E:E)</f>
        <v>1</v>
      </c>
      <c r="E95" s="12">
        <f>SUMIF('ALLA ÅR'!B:B,Tabell4[[#This Row],[Namn]],'ALLA ÅR'!F:F)</f>
        <v>0</v>
      </c>
      <c r="F95" s="12">
        <f>SUMIF('ALLA ÅR'!B:B,Tabell4[[#This Row],[Namn]],'ALLA ÅR'!G:G)</f>
        <v>0</v>
      </c>
      <c r="G95" s="12">
        <f>VLOOKUP(Tabell4[[#This Row],[Namn]],'ALLA ÅR'!B:J,9,0)</f>
        <v>2017</v>
      </c>
      <c r="H95" s="12">
        <f>COUNTIF('ALLA ÅR'!B:B,Tabell4[[#This Row],[Namn]])</f>
        <v>2</v>
      </c>
      <c r="I95" s="12">
        <f>VLOOKUP(Tabell4[[#This Row],[Namn]],'ALLA ÅR'!B:L,11,0)</f>
        <v>24</v>
      </c>
      <c r="J95" s="12">
        <f>RANK(Tabell4[[#This Row],[MÅL]],F:F)</f>
        <v>107</v>
      </c>
      <c r="K95" s="12">
        <f>RANK(Tabell4[[#This Row],[VAR]],D:D)</f>
        <v>27</v>
      </c>
      <c r="L95" s="12">
        <f>RANK(Tabell4[[#This Row],[MAT]],C:C)</f>
        <v>81</v>
      </c>
      <c r="M95" s="14">
        <f>Tabell4[[#This Row],[MAT]]/Tabell4[[#This Row],[ANTAL MATCHER]]</f>
        <v>0.5625</v>
      </c>
      <c r="N95" s="12">
        <f>SUMIF('ALLA ÅR'!B:B,Tabell4[[#This Row],[Namn]],'ALLA ÅR'!H:H)</f>
        <v>32</v>
      </c>
      <c r="O95" s="12">
        <f>(Tabell4[[#This Row],[UTV]]*2)+Tabell4[[#This Row],[VAR]]</f>
        <v>1</v>
      </c>
      <c r="P95" s="12">
        <f>COUNTIF('100%'!B:B,Tabell4[[#This Row],[Namn]])</f>
        <v>0</v>
      </c>
      <c r="Q95" s="12">
        <f>_xlfn.XLOOKUP(Tabell4[[#This Row],[Namn]],Blad3!A:A,Blad3!B:B)</f>
        <v>0</v>
      </c>
      <c r="R95" s="12">
        <f>_xlfn.XLOOKUP(Tabell4[[#This Row],[Namn]],Blad3!A:A,Blad3!C:C)</f>
        <v>0</v>
      </c>
      <c r="S95" s="12">
        <f>_xlfn.XLOOKUP(Tabell4[[#This Row],[Namn]],Blad3!A:A,Blad3!D:D)</f>
        <v>7</v>
      </c>
      <c r="T95" s="12">
        <f>_xlfn.XLOOKUP(Tabell4[[#This Row],[Namn]],Blad3!A:A,Blad3!E:E)</f>
        <v>11</v>
      </c>
      <c r="U95" s="12">
        <f>RANK(Tabell4[[#This Row],[SÄS]],Tabell4[SÄS])</f>
        <v>61</v>
      </c>
      <c r="V95" s="12">
        <f>_xlfn.XLOOKUP(Tabell4[[#This Row],[Namn]],Blad3!H:H,Blad3!I:I)</f>
        <v>0</v>
      </c>
      <c r="W95" s="12">
        <f>_xlfn.XLOOKUP(Tabell4[[#This Row],[Namn]],Blad3!H:H,Blad3!J:J)</f>
        <v>0</v>
      </c>
      <c r="X95" s="12">
        <f>_xlfn.XLOOKUP(Tabell4[[#This Row],[Namn]],Blad3!H:H,Blad3!K:K)</f>
        <v>0</v>
      </c>
      <c r="Y95" s="12">
        <f>_xlfn.XLOOKUP(Tabell4[[#This Row],[Namn]],Blad3!H:H,Blad3!L:L)</f>
        <v>0</v>
      </c>
    </row>
    <row r="96" spans="1:25" x14ac:dyDescent="0.25">
      <c r="A96" s="15">
        <f>Tabell4[[#This Row],[RANK MATCHER]]</f>
        <v>82</v>
      </c>
      <c r="B96" s="11" t="s">
        <v>107</v>
      </c>
      <c r="C96" s="12">
        <f>SUMIF('ALLA ÅR'!B:B,Tabell4[[#This Row],[Namn]],'ALLA ÅR'!C:C)</f>
        <v>17</v>
      </c>
      <c r="D96" s="12">
        <f>SUMIF('ALLA ÅR'!B:B,Tabell4[[#This Row],[Namn]],'ALLA ÅR'!E:E)</f>
        <v>0</v>
      </c>
      <c r="E96" s="12">
        <f>SUMIF('ALLA ÅR'!B:B,Tabell4[[#This Row],[Namn]],'ALLA ÅR'!F:F)</f>
        <v>0</v>
      </c>
      <c r="F96" s="12">
        <f>SUMIF('ALLA ÅR'!B:B,Tabell4[[#This Row],[Namn]],'ALLA ÅR'!G:G)</f>
        <v>13</v>
      </c>
      <c r="G96" s="12">
        <f>VLOOKUP(Tabell4[[#This Row],[Namn]],'ALLA ÅR'!B:J,9,0)</f>
        <v>2019</v>
      </c>
      <c r="H96" s="12">
        <f>COUNTIF('ALLA ÅR'!B:B,Tabell4[[#This Row],[Namn]])</f>
        <v>1</v>
      </c>
      <c r="I96" s="12">
        <f>VLOOKUP(Tabell4[[#This Row],[Namn]],'ALLA ÅR'!B:L,11,0)</f>
        <v>29</v>
      </c>
      <c r="J96" s="12">
        <f>RANK(Tabell4[[#This Row],[MÅL]],F:F)</f>
        <v>16</v>
      </c>
      <c r="K96" s="12">
        <f>RANK(Tabell4[[#This Row],[VAR]],D:D)</f>
        <v>54</v>
      </c>
      <c r="L96" s="12">
        <f>RANK(Tabell4[[#This Row],[MAT]],C:C)</f>
        <v>82</v>
      </c>
      <c r="M96" s="14">
        <f>Tabell4[[#This Row],[MAT]]/Tabell4[[#This Row],[ANTAL MATCHER]]</f>
        <v>0.65384615384615385</v>
      </c>
      <c r="N96" s="12">
        <f>SUMIF('ALLA ÅR'!B:B,Tabell4[[#This Row],[Namn]],'ALLA ÅR'!H:H)</f>
        <v>26</v>
      </c>
      <c r="O96" s="12">
        <f>(Tabell4[[#This Row],[UTV]]*2)+Tabell4[[#This Row],[VAR]]</f>
        <v>0</v>
      </c>
      <c r="P96" s="12">
        <f>COUNTIF('100%'!B:B,Tabell4[[#This Row],[Namn]])</f>
        <v>0</v>
      </c>
      <c r="Q96" s="12">
        <f>_xlfn.XLOOKUP(Tabell4[[#This Row],[Namn]],Blad3!A:A,Blad3!B:B)</f>
        <v>0</v>
      </c>
      <c r="R96" s="12">
        <f>_xlfn.XLOOKUP(Tabell4[[#This Row],[Namn]],Blad3!A:A,Blad3!C:C)</f>
        <v>17</v>
      </c>
      <c r="S96" s="12">
        <f>_xlfn.XLOOKUP(Tabell4[[#This Row],[Namn]],Blad3!A:A,Blad3!D:D)</f>
        <v>0</v>
      </c>
      <c r="T96" s="12">
        <f>_xlfn.XLOOKUP(Tabell4[[#This Row],[Namn]],Blad3!A:A,Blad3!E:E)</f>
        <v>0</v>
      </c>
      <c r="U96" s="12">
        <f>RANK(Tabell4[[#This Row],[SÄS]],Tabell4[SÄS])</f>
        <v>114</v>
      </c>
      <c r="V96" s="12">
        <f>_xlfn.XLOOKUP(Tabell4[[#This Row],[Namn]],Blad3!H:H,Blad3!I:I)</f>
        <v>0</v>
      </c>
      <c r="W96" s="12">
        <f>_xlfn.XLOOKUP(Tabell4[[#This Row],[Namn]],Blad3!H:H,Blad3!J:J)</f>
        <v>13</v>
      </c>
      <c r="X96" s="12">
        <f>_xlfn.XLOOKUP(Tabell4[[#This Row],[Namn]],Blad3!H:H,Blad3!K:K)</f>
        <v>0</v>
      </c>
      <c r="Y96" s="12">
        <f>_xlfn.XLOOKUP(Tabell4[[#This Row],[Namn]],Blad3!H:H,Blad3!L:L)</f>
        <v>0</v>
      </c>
    </row>
    <row r="97" spans="1:25" x14ac:dyDescent="0.25">
      <c r="A97" s="15">
        <f>Tabell4[[#This Row],[RANK MATCHER]]</f>
        <v>82</v>
      </c>
      <c r="B97" s="11" t="s">
        <v>129</v>
      </c>
      <c r="C97" s="12">
        <f>SUMIF('ALLA ÅR'!B:B,Tabell4[[#This Row],[Namn]],'ALLA ÅR'!C:C)</f>
        <v>17</v>
      </c>
      <c r="D97" s="12">
        <f>SUMIF('ALLA ÅR'!B:B,Tabell4[[#This Row],[Namn]],'ALLA ÅR'!E:E)</f>
        <v>0</v>
      </c>
      <c r="E97" s="12">
        <f>SUMIF('ALLA ÅR'!B:B,Tabell4[[#This Row],[Namn]],'ALLA ÅR'!F:F)</f>
        <v>0</v>
      </c>
      <c r="F97" s="12">
        <f>SUMIF('ALLA ÅR'!B:B,Tabell4[[#This Row],[Namn]],'ALLA ÅR'!G:G)</f>
        <v>1</v>
      </c>
      <c r="G97" s="12">
        <f>VLOOKUP(Tabell4[[#This Row],[Namn]],'ALLA ÅR'!B:J,9,0)</f>
        <v>2017</v>
      </c>
      <c r="H97" s="12">
        <f>COUNTIF('ALLA ÅR'!B:B,Tabell4[[#This Row],[Namn]])</f>
        <v>2</v>
      </c>
      <c r="I97" s="12">
        <f>VLOOKUP(Tabell4[[#This Row],[Namn]],'ALLA ÅR'!B:L,11,0)</f>
        <v>18</v>
      </c>
      <c r="J97" s="12">
        <f>RANK(Tabell4[[#This Row],[MÅL]],F:F)</f>
        <v>67</v>
      </c>
      <c r="K97" s="12">
        <f>RANK(Tabell4[[#This Row],[VAR]],D:D)</f>
        <v>54</v>
      </c>
      <c r="L97" s="12">
        <f>RANK(Tabell4[[#This Row],[MAT]],C:C)</f>
        <v>82</v>
      </c>
      <c r="M97" s="14">
        <f>Tabell4[[#This Row],[MAT]]/Tabell4[[#This Row],[ANTAL MATCHER]]</f>
        <v>0.53125</v>
      </c>
      <c r="N97" s="12">
        <f>SUMIF('ALLA ÅR'!B:B,Tabell4[[#This Row],[Namn]],'ALLA ÅR'!H:H)</f>
        <v>32</v>
      </c>
      <c r="O97" s="12">
        <f>(Tabell4[[#This Row],[UTV]]*2)+Tabell4[[#This Row],[VAR]]</f>
        <v>0</v>
      </c>
      <c r="P97" s="12">
        <f>COUNTIF('100%'!B:B,Tabell4[[#This Row],[Namn]])</f>
        <v>1</v>
      </c>
      <c r="Q97" s="12">
        <f>_xlfn.XLOOKUP(Tabell4[[#This Row],[Namn]],Blad3!A:A,Blad3!B:B)</f>
        <v>0</v>
      </c>
      <c r="R97" s="12">
        <f>_xlfn.XLOOKUP(Tabell4[[#This Row],[Namn]],Blad3!A:A,Blad3!C:C)</f>
        <v>0</v>
      </c>
      <c r="S97" s="12">
        <f>_xlfn.XLOOKUP(Tabell4[[#This Row],[Namn]],Blad3!A:A,Blad3!D:D)</f>
        <v>1</v>
      </c>
      <c r="T97" s="12">
        <f>_xlfn.XLOOKUP(Tabell4[[#This Row],[Namn]],Blad3!A:A,Blad3!E:E)</f>
        <v>16</v>
      </c>
      <c r="U97" s="12">
        <f>RANK(Tabell4[[#This Row],[SÄS]],Tabell4[SÄS])</f>
        <v>61</v>
      </c>
      <c r="V97" s="12">
        <f>_xlfn.XLOOKUP(Tabell4[[#This Row],[Namn]],Blad3!H:H,Blad3!I:I)</f>
        <v>0</v>
      </c>
      <c r="W97" s="12">
        <f>_xlfn.XLOOKUP(Tabell4[[#This Row],[Namn]],Blad3!H:H,Blad3!J:J)</f>
        <v>0</v>
      </c>
      <c r="X97" s="12">
        <f>_xlfn.XLOOKUP(Tabell4[[#This Row],[Namn]],Blad3!H:H,Blad3!K:K)</f>
        <v>0</v>
      </c>
      <c r="Y97" s="12">
        <f>_xlfn.XLOOKUP(Tabell4[[#This Row],[Namn]],Blad3!H:H,Blad3!L:L)</f>
        <v>1</v>
      </c>
    </row>
    <row r="98" spans="1:25" x14ac:dyDescent="0.25">
      <c r="A98" s="15">
        <f>Tabell4[[#This Row],[RANK MATCHER]]</f>
        <v>82</v>
      </c>
      <c r="B98" s="11" t="s">
        <v>121</v>
      </c>
      <c r="C98" s="12">
        <f>SUMIF('ALLA ÅR'!B:B,Tabell4[[#This Row],[Namn]],'ALLA ÅR'!C:C)</f>
        <v>17</v>
      </c>
      <c r="D98" s="12">
        <f>SUMIF('ALLA ÅR'!B:B,Tabell4[[#This Row],[Namn]],'ALLA ÅR'!E:E)</f>
        <v>0</v>
      </c>
      <c r="E98" s="12">
        <f>SUMIF('ALLA ÅR'!B:B,Tabell4[[#This Row],[Namn]],'ALLA ÅR'!F:F)</f>
        <v>0</v>
      </c>
      <c r="F98" s="12">
        <f>SUMIF('ALLA ÅR'!B:B,Tabell4[[#This Row],[Namn]],'ALLA ÅR'!G:G)</f>
        <v>0</v>
      </c>
      <c r="G98" s="12">
        <f>VLOOKUP(Tabell4[[#This Row],[Namn]],'ALLA ÅR'!B:J,9,0)</f>
        <v>2017</v>
      </c>
      <c r="H98" s="12">
        <f>COUNTIF('ALLA ÅR'!B:B,Tabell4[[#This Row],[Namn]])</f>
        <v>2</v>
      </c>
      <c r="I98" s="12">
        <f>VLOOKUP(Tabell4[[#This Row],[Namn]],'ALLA ÅR'!B:L,11,0)</f>
        <v>18</v>
      </c>
      <c r="J98" s="12">
        <f>RANK(Tabell4[[#This Row],[MÅL]],F:F)</f>
        <v>107</v>
      </c>
      <c r="K98" s="12">
        <f>RANK(Tabell4[[#This Row],[VAR]],D:D)</f>
        <v>54</v>
      </c>
      <c r="L98" s="12">
        <f>RANK(Tabell4[[#This Row],[MAT]],C:C)</f>
        <v>82</v>
      </c>
      <c r="M98" s="14">
        <f>Tabell4[[#This Row],[MAT]]/Tabell4[[#This Row],[ANTAL MATCHER]]</f>
        <v>0.53125</v>
      </c>
      <c r="N98" s="12">
        <f>SUMIF('ALLA ÅR'!B:B,Tabell4[[#This Row],[Namn]],'ALLA ÅR'!H:H)</f>
        <v>32</v>
      </c>
      <c r="O98" s="12">
        <f>(Tabell4[[#This Row],[UTV]]*2)+Tabell4[[#This Row],[VAR]]</f>
        <v>0</v>
      </c>
      <c r="P98" s="12">
        <f>COUNTIF('100%'!B:B,Tabell4[[#This Row],[Namn]])</f>
        <v>0</v>
      </c>
      <c r="Q98" s="12">
        <f>_xlfn.XLOOKUP(Tabell4[[#This Row],[Namn]],Blad3!A:A,Blad3!B:B)</f>
        <v>0</v>
      </c>
      <c r="R98" s="12">
        <f>_xlfn.XLOOKUP(Tabell4[[#This Row],[Namn]],Blad3!A:A,Blad3!C:C)</f>
        <v>0</v>
      </c>
      <c r="S98" s="12">
        <f>_xlfn.XLOOKUP(Tabell4[[#This Row],[Namn]],Blad3!A:A,Blad3!D:D)</f>
        <v>10</v>
      </c>
      <c r="T98" s="12">
        <f>_xlfn.XLOOKUP(Tabell4[[#This Row],[Namn]],Blad3!A:A,Blad3!E:E)</f>
        <v>7</v>
      </c>
      <c r="U98" s="12">
        <f>RANK(Tabell4[[#This Row],[SÄS]],Tabell4[SÄS])</f>
        <v>61</v>
      </c>
      <c r="V98" s="12">
        <f>_xlfn.XLOOKUP(Tabell4[[#This Row],[Namn]],Blad3!H:H,Blad3!I:I)</f>
        <v>0</v>
      </c>
      <c r="W98" s="12">
        <f>_xlfn.XLOOKUP(Tabell4[[#This Row],[Namn]],Blad3!H:H,Blad3!J:J)</f>
        <v>0</v>
      </c>
      <c r="X98" s="12">
        <f>_xlfn.XLOOKUP(Tabell4[[#This Row],[Namn]],Blad3!H:H,Blad3!K:K)</f>
        <v>0</v>
      </c>
      <c r="Y98" s="12">
        <f>_xlfn.XLOOKUP(Tabell4[[#This Row],[Namn]],Blad3!H:H,Blad3!L:L)</f>
        <v>0</v>
      </c>
    </row>
    <row r="99" spans="1:25" x14ac:dyDescent="0.25">
      <c r="A99" s="15">
        <f>Tabell4[[#This Row],[RANK MATCHER]]</f>
        <v>82</v>
      </c>
      <c r="B99" s="11" t="s">
        <v>140</v>
      </c>
      <c r="C99" s="12">
        <f>SUMIF('ALLA ÅR'!B:B,Tabell4[[#This Row],[Namn]],'ALLA ÅR'!C:C)</f>
        <v>17</v>
      </c>
      <c r="D99" s="12">
        <f>SUMIF('ALLA ÅR'!B:B,Tabell4[[#This Row],[Namn]],'ALLA ÅR'!E:E)</f>
        <v>0</v>
      </c>
      <c r="E99" s="12">
        <f>SUMIF('ALLA ÅR'!B:B,Tabell4[[#This Row],[Namn]],'ALLA ÅR'!F:F)</f>
        <v>0</v>
      </c>
      <c r="F99" s="12">
        <f>SUMIF('ALLA ÅR'!B:B,Tabell4[[#This Row],[Namn]],'ALLA ÅR'!G:G)</f>
        <v>1</v>
      </c>
      <c r="G99" s="12">
        <f>VLOOKUP(Tabell4[[#This Row],[Namn]],'ALLA ÅR'!B:J,9,0)</f>
        <v>2016</v>
      </c>
      <c r="H99" s="12">
        <f>COUNTIF('ALLA ÅR'!B:B,Tabell4[[#This Row],[Namn]])</f>
        <v>2</v>
      </c>
      <c r="I99" s="12">
        <f>VLOOKUP(Tabell4[[#This Row],[Namn]],'ALLA ÅR'!B:L,11,0)</f>
        <v>16</v>
      </c>
      <c r="J99" s="12">
        <f>RANK(Tabell4[[#This Row],[MÅL]],F:F)</f>
        <v>67</v>
      </c>
      <c r="K99" s="12">
        <f>RANK(Tabell4[[#This Row],[VAR]],D:D)</f>
        <v>54</v>
      </c>
      <c r="L99" s="12">
        <f>RANK(Tabell4[[#This Row],[MAT]],C:C)</f>
        <v>82</v>
      </c>
      <c r="M99" s="14">
        <f>Tabell4[[#This Row],[MAT]]/Tabell4[[#This Row],[ANTAL MATCHER]]</f>
        <v>0.4358974358974359</v>
      </c>
      <c r="N99" s="12">
        <f>SUMIF('ALLA ÅR'!B:B,Tabell4[[#This Row],[Namn]],'ALLA ÅR'!H:H)</f>
        <v>39</v>
      </c>
      <c r="O99" s="12">
        <f>(Tabell4[[#This Row],[UTV]]*2)+Tabell4[[#This Row],[VAR]]</f>
        <v>0</v>
      </c>
      <c r="P99" s="12">
        <f>COUNTIF('100%'!B:B,Tabell4[[#This Row],[Namn]])</f>
        <v>0</v>
      </c>
      <c r="Q99" s="12">
        <f>_xlfn.XLOOKUP(Tabell4[[#This Row],[Namn]],Blad3!A:A,Blad3!B:B)</f>
        <v>0</v>
      </c>
      <c r="R99" s="12">
        <f>_xlfn.XLOOKUP(Tabell4[[#This Row],[Namn]],Blad3!A:A,Blad3!C:C)</f>
        <v>0</v>
      </c>
      <c r="S99" s="12">
        <f>_xlfn.XLOOKUP(Tabell4[[#This Row],[Namn]],Blad3!A:A,Blad3!D:D)</f>
        <v>0</v>
      </c>
      <c r="T99" s="12">
        <f>_xlfn.XLOOKUP(Tabell4[[#This Row],[Namn]],Blad3!A:A,Blad3!E:E)</f>
        <v>17</v>
      </c>
      <c r="U99" s="12">
        <f>RANK(Tabell4[[#This Row],[SÄS]],Tabell4[SÄS])</f>
        <v>61</v>
      </c>
      <c r="V99" s="12">
        <f>_xlfn.XLOOKUP(Tabell4[[#This Row],[Namn]],Blad3!H:H,Blad3!I:I)</f>
        <v>0</v>
      </c>
      <c r="W99" s="12">
        <f>_xlfn.XLOOKUP(Tabell4[[#This Row],[Namn]],Blad3!H:H,Blad3!J:J)</f>
        <v>0</v>
      </c>
      <c r="X99" s="12">
        <f>_xlfn.XLOOKUP(Tabell4[[#This Row],[Namn]],Blad3!H:H,Blad3!K:K)</f>
        <v>0</v>
      </c>
      <c r="Y99" s="12">
        <f>_xlfn.XLOOKUP(Tabell4[[#This Row],[Namn]],Blad3!H:H,Blad3!L:L)</f>
        <v>1</v>
      </c>
    </row>
    <row r="100" spans="1:25" x14ac:dyDescent="0.25">
      <c r="A100" s="15">
        <f>Tabell4[[#This Row],[RANK MATCHER]]</f>
        <v>86</v>
      </c>
      <c r="B100" s="11" t="s">
        <v>26</v>
      </c>
      <c r="C100" s="12">
        <f>SUMIF('ALLA ÅR'!B:B,Tabell4[[#This Row],[Namn]],'ALLA ÅR'!C:C)</f>
        <v>16</v>
      </c>
      <c r="D100" s="12">
        <f>SUMIF('ALLA ÅR'!B:B,Tabell4[[#This Row],[Namn]],'ALLA ÅR'!E:E)</f>
        <v>0</v>
      </c>
      <c r="E100" s="12">
        <f>SUMIF('ALLA ÅR'!B:B,Tabell4[[#This Row],[Namn]],'ALLA ÅR'!F:F)</f>
        <v>0</v>
      </c>
      <c r="F100" s="12">
        <f>SUMIF('ALLA ÅR'!B:B,Tabell4[[#This Row],[Namn]],'ALLA ÅR'!G:G)</f>
        <v>0</v>
      </c>
      <c r="G100" s="12">
        <f>VLOOKUP(Tabell4[[#This Row],[Namn]],'ALLA ÅR'!B:J,9,0)</f>
        <v>2026</v>
      </c>
      <c r="H100" s="12">
        <f>COUNTIF('ALLA ÅR'!B:B,Tabell4[[#This Row],[Namn]])</f>
        <v>4</v>
      </c>
      <c r="I100" s="12">
        <f>VLOOKUP(Tabell4[[#This Row],[Namn]],'ALLA ÅR'!B:L,11,0)</f>
        <v>19</v>
      </c>
      <c r="J100" s="12">
        <f>RANK(Tabell4[[#This Row],[MÅL]],F:F)</f>
        <v>107</v>
      </c>
      <c r="K100" s="12">
        <f>RANK(Tabell4[[#This Row],[VAR]],D:D)</f>
        <v>54</v>
      </c>
      <c r="L100" s="12">
        <f>RANK(Tabell4[[#This Row],[MAT]],C:C)</f>
        <v>86</v>
      </c>
      <c r="M100" s="14">
        <f>Tabell4[[#This Row],[MAT]]/Tabell4[[#This Row],[ANTAL MATCHER]]</f>
        <v>0.2711864406779661</v>
      </c>
      <c r="N100" s="12">
        <f>SUMIF('ALLA ÅR'!B:B,Tabell4[[#This Row],[Namn]],'ALLA ÅR'!H:H)</f>
        <v>59</v>
      </c>
      <c r="O100" s="12">
        <f>(Tabell4[[#This Row],[UTV]]*2)+Tabell4[[#This Row],[VAR]]</f>
        <v>0</v>
      </c>
      <c r="P100" s="12">
        <f>COUNTIF('100%'!B:B,Tabell4[[#This Row],[Namn]])</f>
        <v>0</v>
      </c>
      <c r="Q100" s="12">
        <f>_xlfn.XLOOKUP(Tabell4[[#This Row],[Namn]],Blad3!A:A,Blad3!B:B)</f>
        <v>0</v>
      </c>
      <c r="R100" s="12">
        <f>_xlfn.XLOOKUP(Tabell4[[#This Row],[Namn]],Blad3!A:A,Blad3!C:C)</f>
        <v>12</v>
      </c>
      <c r="S100" s="12">
        <f>_xlfn.XLOOKUP(Tabell4[[#This Row],[Namn]],Blad3!A:A,Blad3!D:D)</f>
        <v>0</v>
      </c>
      <c r="T100" s="12">
        <f>_xlfn.XLOOKUP(Tabell4[[#This Row],[Namn]],Blad3!A:A,Blad3!E:E)</f>
        <v>4</v>
      </c>
      <c r="U100" s="12">
        <f>RANK(Tabell4[[#This Row],[SÄS]],Tabell4[SÄS])</f>
        <v>26</v>
      </c>
      <c r="V100" s="12">
        <f>_xlfn.XLOOKUP(Tabell4[[#This Row],[Namn]],Blad3!H:H,Blad3!I:I)</f>
        <v>0</v>
      </c>
      <c r="W100" s="12">
        <f>_xlfn.XLOOKUP(Tabell4[[#This Row],[Namn]],Blad3!H:H,Blad3!J:J)</f>
        <v>0</v>
      </c>
      <c r="X100" s="12">
        <f>_xlfn.XLOOKUP(Tabell4[[#This Row],[Namn]],Blad3!H:H,Blad3!K:K)</f>
        <v>0</v>
      </c>
      <c r="Y100" s="12">
        <f>_xlfn.XLOOKUP(Tabell4[[#This Row],[Namn]],Blad3!H:H,Blad3!L:L)</f>
        <v>0</v>
      </c>
    </row>
    <row r="101" spans="1:25" x14ac:dyDescent="0.25">
      <c r="A101" s="15">
        <f>Tabell4[[#This Row],[RANK MATCHER]]</f>
        <v>86</v>
      </c>
      <c r="B101" s="11" t="s">
        <v>102</v>
      </c>
      <c r="C101" s="12">
        <f>SUMIF('ALLA ÅR'!B:B,Tabell4[[#This Row],[Namn]],'ALLA ÅR'!C:C)</f>
        <v>16</v>
      </c>
      <c r="D101" s="12">
        <f>SUMIF('ALLA ÅR'!B:B,Tabell4[[#This Row],[Namn]],'ALLA ÅR'!E:E)</f>
        <v>0</v>
      </c>
      <c r="E101" s="12">
        <f>SUMIF('ALLA ÅR'!B:B,Tabell4[[#This Row],[Namn]],'ALLA ÅR'!F:F)</f>
        <v>0</v>
      </c>
      <c r="F101" s="12">
        <f>SUMIF('ALLA ÅR'!B:B,Tabell4[[#This Row],[Namn]],'ALLA ÅR'!G:G)</f>
        <v>0</v>
      </c>
      <c r="G101" s="12">
        <f>VLOOKUP(Tabell4[[#This Row],[Namn]],'ALLA ÅR'!B:J,9,0)</f>
        <v>2020</v>
      </c>
      <c r="H101" s="12">
        <f>COUNTIF('ALLA ÅR'!B:B,Tabell4[[#This Row],[Namn]])</f>
        <v>3</v>
      </c>
      <c r="I101" s="12">
        <f>VLOOKUP(Tabell4[[#This Row],[Namn]],'ALLA ÅR'!B:L,11,0)</f>
        <v>17</v>
      </c>
      <c r="J101" s="12">
        <f>RANK(Tabell4[[#This Row],[MÅL]],F:F)</f>
        <v>107</v>
      </c>
      <c r="K101" s="12">
        <f>RANK(Tabell4[[#This Row],[VAR]],D:D)</f>
        <v>54</v>
      </c>
      <c r="L101" s="12">
        <f>RANK(Tabell4[[#This Row],[MAT]],C:C)</f>
        <v>86</v>
      </c>
      <c r="M101" s="14">
        <f>Tabell4[[#This Row],[MAT]]/Tabell4[[#This Row],[ANTAL MATCHER]]</f>
        <v>0.30769230769230771</v>
      </c>
      <c r="N101" s="12">
        <f>SUMIF('ALLA ÅR'!B:B,Tabell4[[#This Row],[Namn]],'ALLA ÅR'!H:H)</f>
        <v>52</v>
      </c>
      <c r="O101" s="12">
        <f>(Tabell4[[#This Row],[UTV]]*2)+Tabell4[[#This Row],[VAR]]</f>
        <v>0</v>
      </c>
      <c r="P101" s="12">
        <f>COUNTIF('100%'!B:B,Tabell4[[#This Row],[Namn]])</f>
        <v>0</v>
      </c>
      <c r="Q101" s="12">
        <f>_xlfn.XLOOKUP(Tabell4[[#This Row],[Namn]],Blad3!A:A,Blad3!B:B)</f>
        <v>4</v>
      </c>
      <c r="R101" s="12">
        <f>_xlfn.XLOOKUP(Tabell4[[#This Row],[Namn]],Blad3!A:A,Blad3!C:C)</f>
        <v>9</v>
      </c>
      <c r="S101" s="12">
        <f>_xlfn.XLOOKUP(Tabell4[[#This Row],[Namn]],Blad3!A:A,Blad3!D:D)</f>
        <v>3</v>
      </c>
      <c r="T101" s="12">
        <f>_xlfn.XLOOKUP(Tabell4[[#This Row],[Namn]],Blad3!A:A,Blad3!E:E)</f>
        <v>0</v>
      </c>
      <c r="U101" s="12">
        <f>RANK(Tabell4[[#This Row],[SÄS]],Tabell4[SÄS])</f>
        <v>33</v>
      </c>
      <c r="V101" s="12">
        <f>_xlfn.XLOOKUP(Tabell4[[#This Row],[Namn]],Blad3!H:H,Blad3!I:I)</f>
        <v>0</v>
      </c>
      <c r="W101" s="12">
        <f>_xlfn.XLOOKUP(Tabell4[[#This Row],[Namn]],Blad3!H:H,Blad3!J:J)</f>
        <v>0</v>
      </c>
      <c r="X101" s="12">
        <f>_xlfn.XLOOKUP(Tabell4[[#This Row],[Namn]],Blad3!H:H,Blad3!K:K)</f>
        <v>0</v>
      </c>
      <c r="Y101" s="12">
        <f>_xlfn.XLOOKUP(Tabell4[[#This Row],[Namn]],Blad3!H:H,Blad3!L:L)</f>
        <v>0</v>
      </c>
    </row>
    <row r="102" spans="1:25" x14ac:dyDescent="0.25">
      <c r="A102" s="15">
        <f>Tabell4[[#This Row],[RANK MATCHER]]</f>
        <v>86</v>
      </c>
      <c r="B102" s="11" t="s">
        <v>200</v>
      </c>
      <c r="C102" s="12">
        <f>SUMIF('ALLA ÅR'!B:B,Tabell4[[#This Row],[Namn]],'ALLA ÅR'!C:C)</f>
        <v>16</v>
      </c>
      <c r="D102" s="12">
        <f>SUMIF('ALLA ÅR'!B:B,Tabell4[[#This Row],[Namn]],'ALLA ÅR'!E:E)</f>
        <v>0</v>
      </c>
      <c r="E102" s="12">
        <f>SUMIF('ALLA ÅR'!B:B,Tabell4[[#This Row],[Namn]],'ALLA ÅR'!F:F)</f>
        <v>0</v>
      </c>
      <c r="F102" s="12">
        <f>SUMIF('ALLA ÅR'!B:B,Tabell4[[#This Row],[Namn]],'ALLA ÅR'!G:G)</f>
        <v>0</v>
      </c>
      <c r="G102" s="12">
        <f>VLOOKUP(Tabell4[[#This Row],[Namn]],'ALLA ÅR'!B:J,9,0)</f>
        <v>2010</v>
      </c>
      <c r="H102" s="12">
        <f>COUNTIF('ALLA ÅR'!B:B,Tabell4[[#This Row],[Namn]])</f>
        <v>1</v>
      </c>
      <c r="I102" s="12">
        <f>VLOOKUP(Tabell4[[#This Row],[Namn]],'ALLA ÅR'!B:L,11,0)</f>
        <v>0</v>
      </c>
      <c r="J102" s="12">
        <f>RANK(Tabell4[[#This Row],[MÅL]],F:F)</f>
        <v>107</v>
      </c>
      <c r="K102" s="12">
        <f>RANK(Tabell4[[#This Row],[VAR]],D:D)</f>
        <v>54</v>
      </c>
      <c r="L102" s="12">
        <f>RANK(Tabell4[[#This Row],[MAT]],C:C)</f>
        <v>86</v>
      </c>
      <c r="M102" s="14">
        <f>Tabell4[[#This Row],[MAT]]/Tabell4[[#This Row],[ANTAL MATCHER]]</f>
        <v>0.72727272727272729</v>
      </c>
      <c r="N102" s="12">
        <f>SUMIF('ALLA ÅR'!B:B,Tabell4[[#This Row],[Namn]],'ALLA ÅR'!H:H)</f>
        <v>22</v>
      </c>
      <c r="O102" s="12">
        <f>(Tabell4[[#This Row],[UTV]]*2)+Tabell4[[#This Row],[VAR]]</f>
        <v>0</v>
      </c>
      <c r="P102" s="12">
        <f>COUNTIF('100%'!B:B,Tabell4[[#This Row],[Namn]])</f>
        <v>0</v>
      </c>
      <c r="Q102" s="12">
        <f>_xlfn.XLOOKUP(Tabell4[[#This Row],[Namn]],Blad3!A:A,Blad3!B:B)</f>
        <v>0</v>
      </c>
      <c r="R102" s="12">
        <f>_xlfn.XLOOKUP(Tabell4[[#This Row],[Namn]],Blad3!A:A,Blad3!C:C)</f>
        <v>0</v>
      </c>
      <c r="S102" s="12">
        <f>_xlfn.XLOOKUP(Tabell4[[#This Row],[Namn]],Blad3!A:A,Blad3!D:D)</f>
        <v>16</v>
      </c>
      <c r="T102" s="12">
        <f>_xlfn.XLOOKUP(Tabell4[[#This Row],[Namn]],Blad3!A:A,Blad3!E:E)</f>
        <v>0</v>
      </c>
      <c r="U102" s="12">
        <f>RANK(Tabell4[[#This Row],[SÄS]],Tabell4[SÄS])</f>
        <v>114</v>
      </c>
      <c r="V102" s="12">
        <f>_xlfn.XLOOKUP(Tabell4[[#This Row],[Namn]],Blad3!H:H,Blad3!I:I)</f>
        <v>0</v>
      </c>
      <c r="W102" s="12">
        <f>_xlfn.XLOOKUP(Tabell4[[#This Row],[Namn]],Blad3!H:H,Blad3!J:J)</f>
        <v>0</v>
      </c>
      <c r="X102" s="12">
        <f>_xlfn.XLOOKUP(Tabell4[[#This Row],[Namn]],Blad3!H:H,Blad3!K:K)</f>
        <v>0</v>
      </c>
      <c r="Y102" s="12">
        <f>_xlfn.XLOOKUP(Tabell4[[#This Row],[Namn]],Blad3!H:H,Blad3!L:L)</f>
        <v>0</v>
      </c>
    </row>
    <row r="103" spans="1:25" x14ac:dyDescent="0.25">
      <c r="A103" s="15">
        <f>Tabell4[[#This Row],[RANK MATCHER]]</f>
        <v>89</v>
      </c>
      <c r="B103" s="11" t="s">
        <v>147</v>
      </c>
      <c r="C103" s="12">
        <f>SUMIF('ALLA ÅR'!B:B,Tabell4[[#This Row],[Namn]],'ALLA ÅR'!C:C)</f>
        <v>15</v>
      </c>
      <c r="D103" s="12">
        <f>SUMIF('ALLA ÅR'!B:B,Tabell4[[#This Row],[Namn]],'ALLA ÅR'!E:E)</f>
        <v>0</v>
      </c>
      <c r="E103" s="12">
        <f>SUMIF('ALLA ÅR'!B:B,Tabell4[[#This Row],[Namn]],'ALLA ÅR'!F:F)</f>
        <v>0</v>
      </c>
      <c r="F103" s="12">
        <f>SUMIF('ALLA ÅR'!B:B,Tabell4[[#This Row],[Namn]],'ALLA ÅR'!G:G)</f>
        <v>0</v>
      </c>
      <c r="G103" s="12">
        <f>VLOOKUP(Tabell4[[#This Row],[Namn]],'ALLA ÅR'!B:J,9,0)</f>
        <v>2016</v>
      </c>
      <c r="H103" s="12">
        <f>COUNTIF('ALLA ÅR'!B:B,Tabell4[[#This Row],[Namn]])</f>
        <v>3</v>
      </c>
      <c r="I103" s="12">
        <f>VLOOKUP(Tabell4[[#This Row],[Namn]],'ALLA ÅR'!B:L,11,0)</f>
        <v>16</v>
      </c>
      <c r="J103" s="12">
        <f>RANK(Tabell4[[#This Row],[MÅL]],F:F)</f>
        <v>107</v>
      </c>
      <c r="K103" s="12">
        <f>RANK(Tabell4[[#This Row],[VAR]],D:D)</f>
        <v>54</v>
      </c>
      <c r="L103" s="12">
        <f>RANK(Tabell4[[#This Row],[MAT]],C:C)</f>
        <v>89</v>
      </c>
      <c r="M103" s="14">
        <f>Tabell4[[#This Row],[MAT]]/Tabell4[[#This Row],[ANTAL MATCHER]]</f>
        <v>0.27272727272727271</v>
      </c>
      <c r="N103" s="12">
        <f>SUMIF('ALLA ÅR'!B:B,Tabell4[[#This Row],[Namn]],'ALLA ÅR'!H:H)</f>
        <v>55</v>
      </c>
      <c r="O103" s="12">
        <f>(Tabell4[[#This Row],[UTV]]*2)+Tabell4[[#This Row],[VAR]]</f>
        <v>0</v>
      </c>
      <c r="P103" s="12">
        <f>COUNTIF('100%'!B:B,Tabell4[[#This Row],[Namn]])</f>
        <v>0</v>
      </c>
      <c r="Q103" s="12">
        <f>_xlfn.XLOOKUP(Tabell4[[#This Row],[Namn]],Blad3!A:A,Blad3!B:B)</f>
        <v>0</v>
      </c>
      <c r="R103" s="12">
        <f>_xlfn.XLOOKUP(Tabell4[[#This Row],[Namn]],Blad3!A:A,Blad3!C:C)</f>
        <v>0</v>
      </c>
      <c r="S103" s="12">
        <f>_xlfn.XLOOKUP(Tabell4[[#This Row],[Namn]],Blad3!A:A,Blad3!D:D)</f>
        <v>0</v>
      </c>
      <c r="T103" s="12">
        <f>_xlfn.XLOOKUP(Tabell4[[#This Row],[Namn]],Blad3!A:A,Blad3!E:E)</f>
        <v>15</v>
      </c>
      <c r="U103" s="12">
        <f>RANK(Tabell4[[#This Row],[SÄS]],Tabell4[SÄS])</f>
        <v>33</v>
      </c>
      <c r="V103" s="12">
        <f>_xlfn.XLOOKUP(Tabell4[[#This Row],[Namn]],Blad3!H:H,Blad3!I:I)</f>
        <v>0</v>
      </c>
      <c r="W103" s="12">
        <f>_xlfn.XLOOKUP(Tabell4[[#This Row],[Namn]],Blad3!H:H,Blad3!J:J)</f>
        <v>0</v>
      </c>
      <c r="X103" s="12">
        <f>_xlfn.XLOOKUP(Tabell4[[#This Row],[Namn]],Blad3!H:H,Blad3!K:K)</f>
        <v>0</v>
      </c>
      <c r="Y103" s="12">
        <f>_xlfn.XLOOKUP(Tabell4[[#This Row],[Namn]],Blad3!H:H,Blad3!L:L)</f>
        <v>0</v>
      </c>
    </row>
    <row r="104" spans="1:25" x14ac:dyDescent="0.25">
      <c r="A104" s="15">
        <f>Tabell4[[#This Row],[RANK MATCHER]]</f>
        <v>90</v>
      </c>
      <c r="B104" s="11" t="s">
        <v>72</v>
      </c>
      <c r="C104" s="12">
        <f>SUMIF('ALLA ÅR'!B:B,Tabell4[[#This Row],[Namn]],'ALLA ÅR'!C:C)</f>
        <v>14</v>
      </c>
      <c r="D104" s="12">
        <f>SUMIF('ALLA ÅR'!B:B,Tabell4[[#This Row],[Namn]],'ALLA ÅR'!E:E)</f>
        <v>1</v>
      </c>
      <c r="E104" s="12">
        <f>SUMIF('ALLA ÅR'!B:B,Tabell4[[#This Row],[Namn]],'ALLA ÅR'!F:F)</f>
        <v>0</v>
      </c>
      <c r="F104" s="12">
        <f>SUMIF('ALLA ÅR'!B:B,Tabell4[[#This Row],[Namn]],'ALLA ÅR'!G:G)</f>
        <v>4</v>
      </c>
      <c r="G104" s="12">
        <f>VLOOKUP(Tabell4[[#This Row],[Namn]],'ALLA ÅR'!B:J,9,0)</f>
        <v>2023</v>
      </c>
      <c r="H104" s="12">
        <f>COUNTIF('ALLA ÅR'!B:B,Tabell4[[#This Row],[Namn]])</f>
        <v>1</v>
      </c>
      <c r="I104" s="12">
        <f>VLOOKUP(Tabell4[[#This Row],[Namn]],'ALLA ÅR'!B:L,11,0)</f>
        <v>20</v>
      </c>
      <c r="J104" s="12">
        <f>RANK(Tabell4[[#This Row],[MÅL]],F:F)</f>
        <v>41</v>
      </c>
      <c r="K104" s="12">
        <f>RANK(Tabell4[[#This Row],[VAR]],D:D)</f>
        <v>27</v>
      </c>
      <c r="L104" s="12">
        <f>RANK(Tabell4[[#This Row],[MAT]],C:C)</f>
        <v>90</v>
      </c>
      <c r="M104" s="14">
        <f>Tabell4[[#This Row],[MAT]]/Tabell4[[#This Row],[ANTAL MATCHER]]</f>
        <v>0.63636363636363635</v>
      </c>
      <c r="N104" s="12">
        <f>SUMIF('ALLA ÅR'!B:B,Tabell4[[#This Row],[Namn]],'ALLA ÅR'!H:H)</f>
        <v>22</v>
      </c>
      <c r="O104" s="12">
        <f>(Tabell4[[#This Row],[UTV]]*2)+Tabell4[[#This Row],[VAR]]</f>
        <v>1</v>
      </c>
      <c r="P104" s="12">
        <f>COUNTIF('100%'!B:B,Tabell4[[#This Row],[Namn]])</f>
        <v>0</v>
      </c>
      <c r="Q104" s="12">
        <f>_xlfn.XLOOKUP(Tabell4[[#This Row],[Namn]],Blad3!A:A,Blad3!B:B)</f>
        <v>0</v>
      </c>
      <c r="R104" s="12">
        <f>_xlfn.XLOOKUP(Tabell4[[#This Row],[Namn]],Blad3!A:A,Blad3!C:C)</f>
        <v>14</v>
      </c>
      <c r="S104" s="12">
        <f>_xlfn.XLOOKUP(Tabell4[[#This Row],[Namn]],Blad3!A:A,Blad3!D:D)</f>
        <v>0</v>
      </c>
      <c r="T104" s="12">
        <f>_xlfn.XLOOKUP(Tabell4[[#This Row],[Namn]],Blad3!A:A,Blad3!E:E)</f>
        <v>0</v>
      </c>
      <c r="U104" s="12">
        <f>RANK(Tabell4[[#This Row],[SÄS]],Tabell4[SÄS])</f>
        <v>114</v>
      </c>
      <c r="V104" s="12">
        <f>_xlfn.XLOOKUP(Tabell4[[#This Row],[Namn]],Blad3!H:H,Blad3!I:I)</f>
        <v>0</v>
      </c>
      <c r="W104" s="12">
        <f>_xlfn.XLOOKUP(Tabell4[[#This Row],[Namn]],Blad3!H:H,Blad3!J:J)</f>
        <v>4</v>
      </c>
      <c r="X104" s="12">
        <f>_xlfn.XLOOKUP(Tabell4[[#This Row],[Namn]],Blad3!H:H,Blad3!K:K)</f>
        <v>0</v>
      </c>
      <c r="Y104" s="12">
        <f>_xlfn.XLOOKUP(Tabell4[[#This Row],[Namn]],Blad3!H:H,Blad3!L:L)</f>
        <v>0</v>
      </c>
    </row>
    <row r="105" spans="1:25" x14ac:dyDescent="0.25">
      <c r="A105" s="15">
        <f>Tabell4[[#This Row],[RANK MATCHER]]</f>
        <v>90</v>
      </c>
      <c r="B105" s="11" t="s">
        <v>73</v>
      </c>
      <c r="C105" s="12">
        <f>SUMIF('ALLA ÅR'!B:B,Tabell4[[#This Row],[Namn]],'ALLA ÅR'!C:C)</f>
        <v>14</v>
      </c>
      <c r="D105" s="12">
        <f>SUMIF('ALLA ÅR'!B:B,Tabell4[[#This Row],[Namn]],'ALLA ÅR'!E:E)</f>
        <v>0</v>
      </c>
      <c r="E105" s="12">
        <f>SUMIF('ALLA ÅR'!B:B,Tabell4[[#This Row],[Namn]],'ALLA ÅR'!F:F)</f>
        <v>0</v>
      </c>
      <c r="F105" s="12">
        <f>SUMIF('ALLA ÅR'!B:B,Tabell4[[#This Row],[Namn]],'ALLA ÅR'!G:G)</f>
        <v>1</v>
      </c>
      <c r="G105" s="12">
        <f>VLOOKUP(Tabell4[[#This Row],[Namn]],'ALLA ÅR'!B:J,9,0)</f>
        <v>2023</v>
      </c>
      <c r="H105" s="12">
        <f>COUNTIF('ALLA ÅR'!B:B,Tabell4[[#This Row],[Namn]])</f>
        <v>1</v>
      </c>
      <c r="I105" s="12">
        <f>VLOOKUP(Tabell4[[#This Row],[Namn]],'ALLA ÅR'!B:L,11,0)</f>
        <v>15</v>
      </c>
      <c r="J105" s="12">
        <f>RANK(Tabell4[[#This Row],[MÅL]],F:F)</f>
        <v>67</v>
      </c>
      <c r="K105" s="12">
        <f>RANK(Tabell4[[#This Row],[VAR]],D:D)</f>
        <v>54</v>
      </c>
      <c r="L105" s="12">
        <f>RANK(Tabell4[[#This Row],[MAT]],C:C)</f>
        <v>90</v>
      </c>
      <c r="M105" s="14">
        <f>Tabell4[[#This Row],[MAT]]/Tabell4[[#This Row],[ANTAL MATCHER]]</f>
        <v>0.63636363636363635</v>
      </c>
      <c r="N105" s="12">
        <f>SUMIF('ALLA ÅR'!B:B,Tabell4[[#This Row],[Namn]],'ALLA ÅR'!H:H)</f>
        <v>22</v>
      </c>
      <c r="O105" s="12">
        <f>(Tabell4[[#This Row],[UTV]]*2)+Tabell4[[#This Row],[VAR]]</f>
        <v>0</v>
      </c>
      <c r="P105" s="12">
        <f>COUNTIF('100%'!B:B,Tabell4[[#This Row],[Namn]])</f>
        <v>0</v>
      </c>
      <c r="Q105" s="12">
        <f>_xlfn.XLOOKUP(Tabell4[[#This Row],[Namn]],Blad3!A:A,Blad3!B:B)</f>
        <v>0</v>
      </c>
      <c r="R105" s="12">
        <f>_xlfn.XLOOKUP(Tabell4[[#This Row],[Namn]],Blad3!A:A,Blad3!C:C)</f>
        <v>14</v>
      </c>
      <c r="S105" s="12">
        <f>_xlfn.XLOOKUP(Tabell4[[#This Row],[Namn]],Blad3!A:A,Blad3!D:D)</f>
        <v>0</v>
      </c>
      <c r="T105" s="12">
        <f>_xlfn.XLOOKUP(Tabell4[[#This Row],[Namn]],Blad3!A:A,Blad3!E:E)</f>
        <v>0</v>
      </c>
      <c r="U105" s="12">
        <f>RANK(Tabell4[[#This Row],[SÄS]],Tabell4[SÄS])</f>
        <v>114</v>
      </c>
      <c r="V105" s="12">
        <f>_xlfn.XLOOKUP(Tabell4[[#This Row],[Namn]],Blad3!H:H,Blad3!I:I)</f>
        <v>0</v>
      </c>
      <c r="W105" s="12">
        <f>_xlfn.XLOOKUP(Tabell4[[#This Row],[Namn]],Blad3!H:H,Blad3!J:J)</f>
        <v>1</v>
      </c>
      <c r="X105" s="12">
        <f>_xlfn.XLOOKUP(Tabell4[[#This Row],[Namn]],Blad3!H:H,Blad3!K:K)</f>
        <v>0</v>
      </c>
      <c r="Y105" s="12">
        <f>_xlfn.XLOOKUP(Tabell4[[#This Row],[Namn]],Blad3!H:H,Blad3!L:L)</f>
        <v>0</v>
      </c>
    </row>
    <row r="106" spans="1:25" x14ac:dyDescent="0.25">
      <c r="A106" s="15">
        <f>Tabell4[[#This Row],[RANK MATCHER]]</f>
        <v>90</v>
      </c>
      <c r="B106" s="11" t="s">
        <v>97</v>
      </c>
      <c r="C106" s="12">
        <f>SUMIF('ALLA ÅR'!B:B,Tabell4[[#This Row],[Namn]],'ALLA ÅR'!C:C)</f>
        <v>14</v>
      </c>
      <c r="D106" s="12">
        <f>SUMIF('ALLA ÅR'!B:B,Tabell4[[#This Row],[Namn]],'ALLA ÅR'!E:E)</f>
        <v>0</v>
      </c>
      <c r="E106" s="12">
        <f>SUMIF('ALLA ÅR'!B:B,Tabell4[[#This Row],[Namn]],'ALLA ÅR'!F:F)</f>
        <v>0</v>
      </c>
      <c r="F106" s="12">
        <f>SUMIF('ALLA ÅR'!B:B,Tabell4[[#This Row],[Namn]],'ALLA ÅR'!G:G)</f>
        <v>1</v>
      </c>
      <c r="G106" s="12">
        <f>VLOOKUP(Tabell4[[#This Row],[Namn]],'ALLA ÅR'!B:J,9,0)</f>
        <v>2021</v>
      </c>
      <c r="H106" s="12">
        <f>COUNTIF('ALLA ÅR'!B:B,Tabell4[[#This Row],[Namn]])</f>
        <v>3</v>
      </c>
      <c r="I106" s="12">
        <f>VLOOKUP(Tabell4[[#This Row],[Namn]],'ALLA ÅR'!B:L,11,0)</f>
        <v>20</v>
      </c>
      <c r="J106" s="12">
        <f>RANK(Tabell4[[#This Row],[MÅL]],F:F)</f>
        <v>67</v>
      </c>
      <c r="K106" s="12">
        <f>RANK(Tabell4[[#This Row],[VAR]],D:D)</f>
        <v>54</v>
      </c>
      <c r="L106" s="12">
        <f>RANK(Tabell4[[#This Row],[MAT]],C:C)</f>
        <v>90</v>
      </c>
      <c r="M106" s="14">
        <f>Tabell4[[#This Row],[MAT]]/Tabell4[[#This Row],[ANTAL MATCHER]]</f>
        <v>0.28000000000000003</v>
      </c>
      <c r="N106" s="12">
        <f>SUMIF('ALLA ÅR'!B:B,Tabell4[[#This Row],[Namn]],'ALLA ÅR'!H:H)</f>
        <v>50</v>
      </c>
      <c r="O106" s="12">
        <f>(Tabell4[[#This Row],[UTV]]*2)+Tabell4[[#This Row],[VAR]]</f>
        <v>0</v>
      </c>
      <c r="P106" s="12">
        <f>COUNTIF('100%'!B:B,Tabell4[[#This Row],[Namn]])</f>
        <v>0</v>
      </c>
      <c r="Q106" s="12">
        <f>_xlfn.XLOOKUP(Tabell4[[#This Row],[Namn]],Blad3!A:A,Blad3!B:B)</f>
        <v>0</v>
      </c>
      <c r="R106" s="12">
        <f>_xlfn.XLOOKUP(Tabell4[[#This Row],[Namn]],Blad3!A:A,Blad3!C:C)</f>
        <v>2</v>
      </c>
      <c r="S106" s="12">
        <f>_xlfn.XLOOKUP(Tabell4[[#This Row],[Namn]],Blad3!A:A,Blad3!D:D)</f>
        <v>0</v>
      </c>
      <c r="T106" s="12">
        <f>_xlfn.XLOOKUP(Tabell4[[#This Row],[Namn]],Blad3!A:A,Blad3!E:E)</f>
        <v>12</v>
      </c>
      <c r="U106" s="12">
        <f>RANK(Tabell4[[#This Row],[SÄS]],Tabell4[SÄS])</f>
        <v>33</v>
      </c>
      <c r="V106" s="12">
        <f>_xlfn.XLOOKUP(Tabell4[[#This Row],[Namn]],Blad3!H:H,Blad3!I:I)</f>
        <v>0</v>
      </c>
      <c r="W106" s="12">
        <f>_xlfn.XLOOKUP(Tabell4[[#This Row],[Namn]],Blad3!H:H,Blad3!J:J)</f>
        <v>0</v>
      </c>
      <c r="X106" s="12">
        <f>_xlfn.XLOOKUP(Tabell4[[#This Row],[Namn]],Blad3!H:H,Blad3!K:K)</f>
        <v>0</v>
      </c>
      <c r="Y106" s="12">
        <f>_xlfn.XLOOKUP(Tabell4[[#This Row],[Namn]],Blad3!H:H,Blad3!L:L)</f>
        <v>1</v>
      </c>
    </row>
    <row r="107" spans="1:25" x14ac:dyDescent="0.25">
      <c r="A107" s="15">
        <f>Tabell4[[#This Row],[RANK MATCHER]]</f>
        <v>90</v>
      </c>
      <c r="B107" s="11" t="s">
        <v>117</v>
      </c>
      <c r="C107" s="12">
        <f>SUMIF('ALLA ÅR'!B:B,Tabell4[[#This Row],[Namn]],'ALLA ÅR'!C:C)</f>
        <v>14</v>
      </c>
      <c r="D107" s="12">
        <f>SUMIF('ALLA ÅR'!B:B,Tabell4[[#This Row],[Namn]],'ALLA ÅR'!E:E)</f>
        <v>1</v>
      </c>
      <c r="E107" s="12">
        <f>SUMIF('ALLA ÅR'!B:B,Tabell4[[#This Row],[Namn]],'ALLA ÅR'!F:F)</f>
        <v>0</v>
      </c>
      <c r="F107" s="12">
        <f>SUMIF('ALLA ÅR'!B:B,Tabell4[[#This Row],[Namn]],'ALLA ÅR'!G:G)</f>
        <v>1</v>
      </c>
      <c r="G107" s="12">
        <f>VLOOKUP(Tabell4[[#This Row],[Namn]],'ALLA ÅR'!B:J,9,0)</f>
        <v>2017</v>
      </c>
      <c r="H107" s="12">
        <f>COUNTIF('ALLA ÅR'!B:B,Tabell4[[#This Row],[Namn]])</f>
        <v>1</v>
      </c>
      <c r="I107" s="12">
        <f>VLOOKUP(Tabell4[[#This Row],[Namn]],'ALLA ÅR'!B:L,11,0)</f>
        <v>27</v>
      </c>
      <c r="J107" s="12">
        <f>RANK(Tabell4[[#This Row],[MÅL]],F:F)</f>
        <v>67</v>
      </c>
      <c r="K107" s="12">
        <f>RANK(Tabell4[[#This Row],[VAR]],D:D)</f>
        <v>27</v>
      </c>
      <c r="L107" s="12">
        <f>RANK(Tabell4[[#This Row],[MAT]],C:C)</f>
        <v>90</v>
      </c>
      <c r="M107" s="14">
        <f>Tabell4[[#This Row],[MAT]]/Tabell4[[#This Row],[ANTAL MATCHER]]</f>
        <v>0.875</v>
      </c>
      <c r="N107" s="12">
        <f>SUMIF('ALLA ÅR'!B:B,Tabell4[[#This Row],[Namn]],'ALLA ÅR'!H:H)</f>
        <v>16</v>
      </c>
      <c r="O107" s="12">
        <f>(Tabell4[[#This Row],[UTV]]*2)+Tabell4[[#This Row],[VAR]]</f>
        <v>1</v>
      </c>
      <c r="P107" s="12">
        <f>COUNTIF('100%'!B:B,Tabell4[[#This Row],[Namn]])</f>
        <v>0</v>
      </c>
      <c r="Q107" s="12">
        <f>_xlfn.XLOOKUP(Tabell4[[#This Row],[Namn]],Blad3!A:A,Blad3!B:B)</f>
        <v>0</v>
      </c>
      <c r="R107" s="12">
        <f>_xlfn.XLOOKUP(Tabell4[[#This Row],[Namn]],Blad3!A:A,Blad3!C:C)</f>
        <v>0</v>
      </c>
      <c r="S107" s="12">
        <f>_xlfn.XLOOKUP(Tabell4[[#This Row],[Namn]],Blad3!A:A,Blad3!D:D)</f>
        <v>14</v>
      </c>
      <c r="T107" s="12">
        <f>_xlfn.XLOOKUP(Tabell4[[#This Row],[Namn]],Blad3!A:A,Blad3!E:E)</f>
        <v>0</v>
      </c>
      <c r="U107" s="12">
        <f>RANK(Tabell4[[#This Row],[SÄS]],Tabell4[SÄS])</f>
        <v>114</v>
      </c>
      <c r="V107" s="12">
        <f>_xlfn.XLOOKUP(Tabell4[[#This Row],[Namn]],Blad3!H:H,Blad3!I:I)</f>
        <v>0</v>
      </c>
      <c r="W107" s="12">
        <f>_xlfn.XLOOKUP(Tabell4[[#This Row],[Namn]],Blad3!H:H,Blad3!J:J)</f>
        <v>0</v>
      </c>
      <c r="X107" s="12">
        <f>_xlfn.XLOOKUP(Tabell4[[#This Row],[Namn]],Blad3!H:H,Blad3!K:K)</f>
        <v>1</v>
      </c>
      <c r="Y107" s="12">
        <f>_xlfn.XLOOKUP(Tabell4[[#This Row],[Namn]],Blad3!H:H,Blad3!L:L)</f>
        <v>0</v>
      </c>
    </row>
    <row r="108" spans="1:25" x14ac:dyDescent="0.25">
      <c r="A108" s="15">
        <f>Tabell4[[#This Row],[RANK MATCHER]]</f>
        <v>90</v>
      </c>
      <c r="B108" s="11" t="s">
        <v>149</v>
      </c>
      <c r="C108" s="12">
        <f>SUMIF('ALLA ÅR'!B:B,Tabell4[[#This Row],[Namn]],'ALLA ÅR'!C:C)</f>
        <v>14</v>
      </c>
      <c r="D108" s="12">
        <f>SUMIF('ALLA ÅR'!B:B,Tabell4[[#This Row],[Namn]],'ALLA ÅR'!E:E)</f>
        <v>0</v>
      </c>
      <c r="E108" s="12">
        <f>SUMIF('ALLA ÅR'!B:B,Tabell4[[#This Row],[Namn]],'ALLA ÅR'!F:F)</f>
        <v>0</v>
      </c>
      <c r="F108" s="12">
        <f>SUMIF('ALLA ÅR'!B:B,Tabell4[[#This Row],[Namn]],'ALLA ÅR'!G:G)</f>
        <v>2</v>
      </c>
      <c r="G108" s="12">
        <f>VLOOKUP(Tabell4[[#This Row],[Namn]],'ALLA ÅR'!B:J,9,0)</f>
        <v>2015</v>
      </c>
      <c r="H108" s="12">
        <f>COUNTIF('ALLA ÅR'!B:B,Tabell4[[#This Row],[Namn]])</f>
        <v>1</v>
      </c>
      <c r="I108" s="12">
        <f>VLOOKUP(Tabell4[[#This Row],[Namn]],'ALLA ÅR'!B:L,11,0)</f>
        <v>15</v>
      </c>
      <c r="J108" s="12">
        <f>RANK(Tabell4[[#This Row],[MÅL]],F:F)</f>
        <v>59</v>
      </c>
      <c r="K108" s="12">
        <f>RANK(Tabell4[[#This Row],[VAR]],D:D)</f>
        <v>54</v>
      </c>
      <c r="L108" s="12">
        <f>RANK(Tabell4[[#This Row],[MAT]],C:C)</f>
        <v>90</v>
      </c>
      <c r="M108" s="14">
        <f>Tabell4[[#This Row],[MAT]]/Tabell4[[#This Row],[ANTAL MATCHER]]</f>
        <v>0.60869565217391308</v>
      </c>
      <c r="N108" s="12">
        <f>SUMIF('ALLA ÅR'!B:B,Tabell4[[#This Row],[Namn]],'ALLA ÅR'!H:H)</f>
        <v>23</v>
      </c>
      <c r="O108" s="12">
        <f>(Tabell4[[#This Row],[UTV]]*2)+Tabell4[[#This Row],[VAR]]</f>
        <v>0</v>
      </c>
      <c r="P108" s="12">
        <f>COUNTIF('100%'!B:B,Tabell4[[#This Row],[Namn]])</f>
        <v>0</v>
      </c>
      <c r="Q108" s="12">
        <f>_xlfn.XLOOKUP(Tabell4[[#This Row],[Namn]],Blad3!A:A,Blad3!B:B)</f>
        <v>0</v>
      </c>
      <c r="R108" s="12">
        <f>_xlfn.XLOOKUP(Tabell4[[#This Row],[Namn]],Blad3!A:A,Blad3!C:C)</f>
        <v>0</v>
      </c>
      <c r="S108" s="12">
        <f>_xlfn.XLOOKUP(Tabell4[[#This Row],[Namn]],Blad3!A:A,Blad3!D:D)</f>
        <v>0</v>
      </c>
      <c r="T108" s="12">
        <f>_xlfn.XLOOKUP(Tabell4[[#This Row],[Namn]],Blad3!A:A,Blad3!E:E)</f>
        <v>14</v>
      </c>
      <c r="U108" s="12">
        <f>RANK(Tabell4[[#This Row],[SÄS]],Tabell4[SÄS])</f>
        <v>114</v>
      </c>
      <c r="V108" s="12">
        <f>_xlfn.XLOOKUP(Tabell4[[#This Row],[Namn]],Blad3!H:H,Blad3!I:I)</f>
        <v>0</v>
      </c>
      <c r="W108" s="12">
        <f>_xlfn.XLOOKUP(Tabell4[[#This Row],[Namn]],Blad3!H:H,Blad3!J:J)</f>
        <v>0</v>
      </c>
      <c r="X108" s="12">
        <f>_xlfn.XLOOKUP(Tabell4[[#This Row],[Namn]],Blad3!H:H,Blad3!K:K)</f>
        <v>0</v>
      </c>
      <c r="Y108" s="12">
        <f>_xlfn.XLOOKUP(Tabell4[[#This Row],[Namn]],Blad3!H:H,Blad3!L:L)</f>
        <v>2</v>
      </c>
    </row>
    <row r="109" spans="1:25" x14ac:dyDescent="0.25">
      <c r="A109" s="15">
        <f>Tabell4[[#This Row],[RANK MATCHER]]</f>
        <v>95</v>
      </c>
      <c r="B109" s="11" t="s">
        <v>131</v>
      </c>
      <c r="C109" s="12">
        <f>SUMIF('ALLA ÅR'!B:B,Tabell4[[#This Row],[Namn]],'ALLA ÅR'!C:C)</f>
        <v>13</v>
      </c>
      <c r="D109" s="12">
        <f>SUMIF('ALLA ÅR'!B:B,Tabell4[[#This Row],[Namn]],'ALLA ÅR'!E:E)</f>
        <v>0</v>
      </c>
      <c r="E109" s="12">
        <f>SUMIF('ALLA ÅR'!B:B,Tabell4[[#This Row],[Namn]],'ALLA ÅR'!F:F)</f>
        <v>0</v>
      </c>
      <c r="F109" s="12">
        <f>SUMIF('ALLA ÅR'!B:B,Tabell4[[#This Row],[Namn]],'ALLA ÅR'!G:G)</f>
        <v>13</v>
      </c>
      <c r="G109" s="12">
        <f>VLOOKUP(Tabell4[[#This Row],[Namn]],'ALLA ÅR'!B:J,9,0)</f>
        <v>2017</v>
      </c>
      <c r="H109" s="12">
        <f>COUNTIF('ALLA ÅR'!B:B,Tabell4[[#This Row],[Namn]])</f>
        <v>2</v>
      </c>
      <c r="I109" s="12">
        <f>VLOOKUP(Tabell4[[#This Row],[Namn]],'ALLA ÅR'!B:L,11,0)</f>
        <v>21</v>
      </c>
      <c r="J109" s="12">
        <f>RANK(Tabell4[[#This Row],[MÅL]],F:F)</f>
        <v>16</v>
      </c>
      <c r="K109" s="12">
        <f>RANK(Tabell4[[#This Row],[VAR]],D:D)</f>
        <v>54</v>
      </c>
      <c r="L109" s="12">
        <f>RANK(Tabell4[[#This Row],[MAT]],C:C)</f>
        <v>95</v>
      </c>
      <c r="M109" s="14">
        <f>Tabell4[[#This Row],[MAT]]/Tabell4[[#This Row],[ANTAL MATCHER]]</f>
        <v>0.33333333333333331</v>
      </c>
      <c r="N109" s="12">
        <f>SUMIF('ALLA ÅR'!B:B,Tabell4[[#This Row],[Namn]],'ALLA ÅR'!H:H)</f>
        <v>39</v>
      </c>
      <c r="O109" s="12">
        <f>(Tabell4[[#This Row],[UTV]]*2)+Tabell4[[#This Row],[VAR]]</f>
        <v>0</v>
      </c>
      <c r="P109" s="12">
        <f>COUNTIF('100%'!B:B,Tabell4[[#This Row],[Namn]])</f>
        <v>0</v>
      </c>
      <c r="Q109" s="12">
        <f>_xlfn.XLOOKUP(Tabell4[[#This Row],[Namn]],Blad3!A:A,Blad3!B:B)</f>
        <v>0</v>
      </c>
      <c r="R109" s="12">
        <f>_xlfn.XLOOKUP(Tabell4[[#This Row],[Namn]],Blad3!A:A,Blad3!C:C)</f>
        <v>0</v>
      </c>
      <c r="S109" s="12">
        <f>_xlfn.XLOOKUP(Tabell4[[#This Row],[Namn]],Blad3!A:A,Blad3!D:D)</f>
        <v>1</v>
      </c>
      <c r="T109" s="12">
        <f>_xlfn.XLOOKUP(Tabell4[[#This Row],[Namn]],Blad3!A:A,Blad3!E:E)</f>
        <v>12</v>
      </c>
      <c r="U109" s="12">
        <f>RANK(Tabell4[[#This Row],[SÄS]],Tabell4[SÄS])</f>
        <v>61</v>
      </c>
      <c r="V109" s="12">
        <f>_xlfn.XLOOKUP(Tabell4[[#This Row],[Namn]],Blad3!H:H,Blad3!I:I)</f>
        <v>0</v>
      </c>
      <c r="W109" s="12">
        <f>_xlfn.XLOOKUP(Tabell4[[#This Row],[Namn]],Blad3!H:H,Blad3!J:J)</f>
        <v>0</v>
      </c>
      <c r="X109" s="12">
        <f>_xlfn.XLOOKUP(Tabell4[[#This Row],[Namn]],Blad3!H:H,Blad3!K:K)</f>
        <v>0</v>
      </c>
      <c r="Y109" s="12">
        <f>_xlfn.XLOOKUP(Tabell4[[#This Row],[Namn]],Blad3!H:H,Blad3!L:L)</f>
        <v>13</v>
      </c>
    </row>
    <row r="110" spans="1:25" x14ac:dyDescent="0.25">
      <c r="A110" s="15">
        <f>Tabell4[[#This Row],[RANK MATCHER]]</f>
        <v>95</v>
      </c>
      <c r="B110" s="11" t="s">
        <v>120</v>
      </c>
      <c r="C110" s="12">
        <f>SUMIF('ALLA ÅR'!B:B,Tabell4[[#This Row],[Namn]],'ALLA ÅR'!C:C)</f>
        <v>13</v>
      </c>
      <c r="D110" s="12">
        <f>SUMIF('ALLA ÅR'!B:B,Tabell4[[#This Row],[Namn]],'ALLA ÅR'!E:E)</f>
        <v>0</v>
      </c>
      <c r="E110" s="12">
        <f>SUMIF('ALLA ÅR'!B:B,Tabell4[[#This Row],[Namn]],'ALLA ÅR'!F:F)</f>
        <v>0</v>
      </c>
      <c r="F110" s="12">
        <f>SUMIF('ALLA ÅR'!B:B,Tabell4[[#This Row],[Namn]],'ALLA ÅR'!G:G)</f>
        <v>6</v>
      </c>
      <c r="G110" s="12">
        <f>VLOOKUP(Tabell4[[#This Row],[Namn]],'ALLA ÅR'!B:J,9,0)</f>
        <v>2017</v>
      </c>
      <c r="H110" s="12">
        <f>COUNTIF('ALLA ÅR'!B:B,Tabell4[[#This Row],[Namn]])</f>
        <v>2</v>
      </c>
      <c r="I110" s="12">
        <f>VLOOKUP(Tabell4[[#This Row],[Namn]],'ALLA ÅR'!B:L,11,0)</f>
        <v>23</v>
      </c>
      <c r="J110" s="12">
        <f>RANK(Tabell4[[#This Row],[MÅL]],F:F)</f>
        <v>31</v>
      </c>
      <c r="K110" s="12">
        <f>RANK(Tabell4[[#This Row],[VAR]],D:D)</f>
        <v>54</v>
      </c>
      <c r="L110" s="12">
        <f>RANK(Tabell4[[#This Row],[MAT]],C:C)</f>
        <v>95</v>
      </c>
      <c r="M110" s="14">
        <f>Tabell4[[#This Row],[MAT]]/Tabell4[[#This Row],[ANTAL MATCHER]]</f>
        <v>0.40625</v>
      </c>
      <c r="N110" s="12">
        <f>SUMIF('ALLA ÅR'!B:B,Tabell4[[#This Row],[Namn]],'ALLA ÅR'!H:H)</f>
        <v>32</v>
      </c>
      <c r="O110" s="12">
        <f>(Tabell4[[#This Row],[UTV]]*2)+Tabell4[[#This Row],[VAR]]</f>
        <v>0</v>
      </c>
      <c r="P110" s="12">
        <f>COUNTIF('100%'!B:B,Tabell4[[#This Row],[Namn]])</f>
        <v>0</v>
      </c>
      <c r="Q110" s="12">
        <f>_xlfn.XLOOKUP(Tabell4[[#This Row],[Namn]],Blad3!A:A,Blad3!B:B)</f>
        <v>0</v>
      </c>
      <c r="R110" s="12">
        <f>_xlfn.XLOOKUP(Tabell4[[#This Row],[Namn]],Blad3!A:A,Blad3!C:C)</f>
        <v>0</v>
      </c>
      <c r="S110" s="12">
        <f>_xlfn.XLOOKUP(Tabell4[[#This Row],[Namn]],Blad3!A:A,Blad3!D:D)</f>
        <v>10</v>
      </c>
      <c r="T110" s="12">
        <f>_xlfn.XLOOKUP(Tabell4[[#This Row],[Namn]],Blad3!A:A,Blad3!E:E)</f>
        <v>3</v>
      </c>
      <c r="U110" s="12">
        <f>RANK(Tabell4[[#This Row],[SÄS]],Tabell4[SÄS])</f>
        <v>61</v>
      </c>
      <c r="V110" s="12">
        <f>_xlfn.XLOOKUP(Tabell4[[#This Row],[Namn]],Blad3!H:H,Blad3!I:I)</f>
        <v>0</v>
      </c>
      <c r="W110" s="12">
        <f>_xlfn.XLOOKUP(Tabell4[[#This Row],[Namn]],Blad3!H:H,Blad3!J:J)</f>
        <v>0</v>
      </c>
      <c r="X110" s="12">
        <f>_xlfn.XLOOKUP(Tabell4[[#This Row],[Namn]],Blad3!H:H,Blad3!K:K)</f>
        <v>1</v>
      </c>
      <c r="Y110" s="12">
        <f>_xlfn.XLOOKUP(Tabell4[[#This Row],[Namn]],Blad3!H:H,Blad3!L:L)</f>
        <v>5</v>
      </c>
    </row>
    <row r="111" spans="1:25" x14ac:dyDescent="0.25">
      <c r="A111" s="15">
        <f>Tabell4[[#This Row],[RANK MATCHER]]</f>
        <v>95</v>
      </c>
      <c r="B111" s="11" t="s">
        <v>118</v>
      </c>
      <c r="C111" s="12">
        <f>SUMIF('ALLA ÅR'!B:B,Tabell4[[#This Row],[Namn]],'ALLA ÅR'!C:C)</f>
        <v>13</v>
      </c>
      <c r="D111" s="12">
        <f>SUMIF('ALLA ÅR'!B:B,Tabell4[[#This Row],[Namn]],'ALLA ÅR'!E:E)</f>
        <v>0</v>
      </c>
      <c r="E111" s="12">
        <f>SUMIF('ALLA ÅR'!B:B,Tabell4[[#This Row],[Namn]],'ALLA ÅR'!F:F)</f>
        <v>0</v>
      </c>
      <c r="F111" s="12">
        <f>SUMIF('ALLA ÅR'!B:B,Tabell4[[#This Row],[Namn]],'ALLA ÅR'!G:G)</f>
        <v>3</v>
      </c>
      <c r="G111" s="12">
        <f>VLOOKUP(Tabell4[[#This Row],[Namn]],'ALLA ÅR'!B:J,9,0)</f>
        <v>2017</v>
      </c>
      <c r="H111" s="12">
        <f>COUNTIF('ALLA ÅR'!B:B,Tabell4[[#This Row],[Namn]])</f>
        <v>1</v>
      </c>
      <c r="I111" s="12">
        <f>VLOOKUP(Tabell4[[#This Row],[Namn]],'ALLA ÅR'!B:L,11,0)</f>
        <v>18</v>
      </c>
      <c r="J111" s="12">
        <f>RANK(Tabell4[[#This Row],[MÅL]],F:F)</f>
        <v>49</v>
      </c>
      <c r="K111" s="12">
        <f>RANK(Tabell4[[#This Row],[VAR]],D:D)</f>
        <v>54</v>
      </c>
      <c r="L111" s="12">
        <f>RANK(Tabell4[[#This Row],[MAT]],C:C)</f>
        <v>95</v>
      </c>
      <c r="M111" s="14">
        <f>Tabell4[[#This Row],[MAT]]/Tabell4[[#This Row],[ANTAL MATCHER]]</f>
        <v>0.8125</v>
      </c>
      <c r="N111" s="12">
        <f>SUMIF('ALLA ÅR'!B:B,Tabell4[[#This Row],[Namn]],'ALLA ÅR'!H:H)</f>
        <v>16</v>
      </c>
      <c r="O111" s="12">
        <f>(Tabell4[[#This Row],[UTV]]*2)+Tabell4[[#This Row],[VAR]]</f>
        <v>0</v>
      </c>
      <c r="P111" s="12">
        <f>COUNTIF('100%'!B:B,Tabell4[[#This Row],[Namn]])</f>
        <v>0</v>
      </c>
      <c r="Q111" s="12">
        <f>_xlfn.XLOOKUP(Tabell4[[#This Row],[Namn]],Blad3!A:A,Blad3!B:B)</f>
        <v>0</v>
      </c>
      <c r="R111" s="12">
        <f>_xlfn.XLOOKUP(Tabell4[[#This Row],[Namn]],Blad3!A:A,Blad3!C:C)</f>
        <v>0</v>
      </c>
      <c r="S111" s="12">
        <f>_xlfn.XLOOKUP(Tabell4[[#This Row],[Namn]],Blad3!A:A,Blad3!D:D)</f>
        <v>13</v>
      </c>
      <c r="T111" s="12">
        <f>_xlfn.XLOOKUP(Tabell4[[#This Row],[Namn]],Blad3!A:A,Blad3!E:E)</f>
        <v>0</v>
      </c>
      <c r="U111" s="12">
        <f>RANK(Tabell4[[#This Row],[SÄS]],Tabell4[SÄS])</f>
        <v>114</v>
      </c>
      <c r="V111" s="12">
        <f>_xlfn.XLOOKUP(Tabell4[[#This Row],[Namn]],Blad3!H:H,Blad3!I:I)</f>
        <v>0</v>
      </c>
      <c r="W111" s="12">
        <f>_xlfn.XLOOKUP(Tabell4[[#This Row],[Namn]],Blad3!H:H,Blad3!J:J)</f>
        <v>0</v>
      </c>
      <c r="X111" s="12">
        <f>_xlfn.XLOOKUP(Tabell4[[#This Row],[Namn]],Blad3!H:H,Blad3!K:K)</f>
        <v>3</v>
      </c>
      <c r="Y111" s="12">
        <f>_xlfn.XLOOKUP(Tabell4[[#This Row],[Namn]],Blad3!H:H,Blad3!L:L)</f>
        <v>0</v>
      </c>
    </row>
    <row r="112" spans="1:25" x14ac:dyDescent="0.25">
      <c r="A112" s="15">
        <f>Tabell4[[#This Row],[RANK MATCHER]]</f>
        <v>95</v>
      </c>
      <c r="B112" s="11" t="s">
        <v>130</v>
      </c>
      <c r="C112" s="12">
        <f>SUMIF('ALLA ÅR'!B:B,Tabell4[[#This Row],[Namn]],'ALLA ÅR'!C:C)</f>
        <v>13</v>
      </c>
      <c r="D112" s="12">
        <f>SUMIF('ALLA ÅR'!B:B,Tabell4[[#This Row],[Namn]],'ALLA ÅR'!E:E)</f>
        <v>0</v>
      </c>
      <c r="E112" s="12">
        <f>SUMIF('ALLA ÅR'!B:B,Tabell4[[#This Row],[Namn]],'ALLA ÅR'!F:F)</f>
        <v>0</v>
      </c>
      <c r="F112" s="12">
        <f>SUMIF('ALLA ÅR'!B:B,Tabell4[[#This Row],[Namn]],'ALLA ÅR'!G:G)</f>
        <v>2</v>
      </c>
      <c r="G112" s="12">
        <f>VLOOKUP(Tabell4[[#This Row],[Namn]],'ALLA ÅR'!B:J,9,0)</f>
        <v>2017</v>
      </c>
      <c r="H112" s="12">
        <f>COUNTIF('ALLA ÅR'!B:B,Tabell4[[#This Row],[Namn]])</f>
        <v>2</v>
      </c>
      <c r="I112" s="12">
        <f>VLOOKUP(Tabell4[[#This Row],[Namn]],'ALLA ÅR'!B:L,11,0)</f>
        <v>18</v>
      </c>
      <c r="J112" s="12">
        <f>RANK(Tabell4[[#This Row],[MÅL]],F:F)</f>
        <v>59</v>
      </c>
      <c r="K112" s="12">
        <f>RANK(Tabell4[[#This Row],[VAR]],D:D)</f>
        <v>54</v>
      </c>
      <c r="L112" s="12">
        <f>RANK(Tabell4[[#This Row],[MAT]],C:C)</f>
        <v>95</v>
      </c>
      <c r="M112" s="14">
        <f>Tabell4[[#This Row],[MAT]]/Tabell4[[#This Row],[ANTAL MATCHER]]</f>
        <v>0.40625</v>
      </c>
      <c r="N112" s="12">
        <f>SUMIF('ALLA ÅR'!B:B,Tabell4[[#This Row],[Namn]],'ALLA ÅR'!H:H)</f>
        <v>32</v>
      </c>
      <c r="O112" s="12">
        <f>(Tabell4[[#This Row],[UTV]]*2)+Tabell4[[#This Row],[VAR]]</f>
        <v>0</v>
      </c>
      <c r="P112" s="12">
        <f>COUNTIF('100%'!B:B,Tabell4[[#This Row],[Namn]])</f>
        <v>0</v>
      </c>
      <c r="Q112" s="12">
        <f>_xlfn.XLOOKUP(Tabell4[[#This Row],[Namn]],Blad3!A:A,Blad3!B:B)</f>
        <v>0</v>
      </c>
      <c r="R112" s="12">
        <f>_xlfn.XLOOKUP(Tabell4[[#This Row],[Namn]],Blad3!A:A,Blad3!C:C)</f>
        <v>0</v>
      </c>
      <c r="S112" s="12">
        <f>_xlfn.XLOOKUP(Tabell4[[#This Row],[Namn]],Blad3!A:A,Blad3!D:D)</f>
        <v>1</v>
      </c>
      <c r="T112" s="12">
        <f>_xlfn.XLOOKUP(Tabell4[[#This Row],[Namn]],Blad3!A:A,Blad3!E:E)</f>
        <v>12</v>
      </c>
      <c r="U112" s="12">
        <f>RANK(Tabell4[[#This Row],[SÄS]],Tabell4[SÄS])</f>
        <v>61</v>
      </c>
      <c r="V112" s="12">
        <f>_xlfn.XLOOKUP(Tabell4[[#This Row],[Namn]],Blad3!H:H,Blad3!I:I)</f>
        <v>0</v>
      </c>
      <c r="W112" s="12">
        <f>_xlfn.XLOOKUP(Tabell4[[#This Row],[Namn]],Blad3!H:H,Blad3!J:J)</f>
        <v>0</v>
      </c>
      <c r="X112" s="12">
        <f>_xlfn.XLOOKUP(Tabell4[[#This Row],[Namn]],Blad3!H:H,Blad3!K:K)</f>
        <v>0</v>
      </c>
      <c r="Y112" s="12">
        <f>_xlfn.XLOOKUP(Tabell4[[#This Row],[Namn]],Blad3!H:H,Blad3!L:L)</f>
        <v>2</v>
      </c>
    </row>
    <row r="113" spans="1:25" x14ac:dyDescent="0.25">
      <c r="A113" s="15">
        <f>Tabell4[[#This Row],[RANK MATCHER]]</f>
        <v>95</v>
      </c>
      <c r="B113" s="11" t="s">
        <v>192</v>
      </c>
      <c r="C113" s="12">
        <f>SUMIF('ALLA ÅR'!B:B,Tabell4[[#This Row],[Namn]],'ALLA ÅR'!C:C)</f>
        <v>13</v>
      </c>
      <c r="D113" s="12">
        <f>SUMIF('ALLA ÅR'!B:B,Tabell4[[#This Row],[Namn]],'ALLA ÅR'!E:E)</f>
        <v>0</v>
      </c>
      <c r="E113" s="12">
        <f>SUMIF('ALLA ÅR'!B:B,Tabell4[[#This Row],[Namn]],'ALLA ÅR'!F:F)</f>
        <v>0</v>
      </c>
      <c r="F113" s="12">
        <f>SUMIF('ALLA ÅR'!B:B,Tabell4[[#This Row],[Namn]],'ALLA ÅR'!G:G)</f>
        <v>0</v>
      </c>
      <c r="G113" s="12">
        <f>VLOOKUP(Tabell4[[#This Row],[Namn]],'ALLA ÅR'!B:J,9,0)</f>
        <v>2011</v>
      </c>
      <c r="H113" s="12">
        <f>COUNTIF('ALLA ÅR'!B:B,Tabell4[[#This Row],[Namn]])</f>
        <v>1</v>
      </c>
      <c r="I113" s="12">
        <f>VLOOKUP(Tabell4[[#This Row],[Namn]],'ALLA ÅR'!B:L,11,0)</f>
        <v>18</v>
      </c>
      <c r="J113" s="12">
        <f>RANK(Tabell4[[#This Row],[MÅL]],F:F)</f>
        <v>107</v>
      </c>
      <c r="K113" s="12">
        <f>RANK(Tabell4[[#This Row],[VAR]],D:D)</f>
        <v>54</v>
      </c>
      <c r="L113" s="12">
        <f>RANK(Tabell4[[#This Row],[MAT]],C:C)</f>
        <v>95</v>
      </c>
      <c r="M113" s="14">
        <f>Tabell4[[#This Row],[MAT]]/Tabell4[[#This Row],[ANTAL MATCHER]]</f>
        <v>0.54166666666666663</v>
      </c>
      <c r="N113" s="12">
        <f>SUMIF('ALLA ÅR'!B:B,Tabell4[[#This Row],[Namn]],'ALLA ÅR'!H:H)</f>
        <v>24</v>
      </c>
      <c r="O113" s="12">
        <f>(Tabell4[[#This Row],[UTV]]*2)+Tabell4[[#This Row],[VAR]]</f>
        <v>0</v>
      </c>
      <c r="P113" s="12">
        <f>COUNTIF('100%'!B:B,Tabell4[[#This Row],[Namn]])</f>
        <v>0</v>
      </c>
      <c r="Q113" s="12">
        <f>_xlfn.XLOOKUP(Tabell4[[#This Row],[Namn]],Blad3!A:A,Blad3!B:B)</f>
        <v>0</v>
      </c>
      <c r="R113" s="12">
        <f>_xlfn.XLOOKUP(Tabell4[[#This Row],[Namn]],Blad3!A:A,Blad3!C:C)</f>
        <v>0</v>
      </c>
      <c r="S113" s="12">
        <f>_xlfn.XLOOKUP(Tabell4[[#This Row],[Namn]],Blad3!A:A,Blad3!D:D)</f>
        <v>13</v>
      </c>
      <c r="T113" s="12">
        <f>_xlfn.XLOOKUP(Tabell4[[#This Row],[Namn]],Blad3!A:A,Blad3!E:E)</f>
        <v>0</v>
      </c>
      <c r="U113" s="12">
        <f>RANK(Tabell4[[#This Row],[SÄS]],Tabell4[SÄS])</f>
        <v>114</v>
      </c>
      <c r="V113" s="12">
        <f>_xlfn.XLOOKUP(Tabell4[[#This Row],[Namn]],Blad3!H:H,Blad3!I:I)</f>
        <v>0</v>
      </c>
      <c r="W113" s="12">
        <f>_xlfn.XLOOKUP(Tabell4[[#This Row],[Namn]],Blad3!H:H,Blad3!J:J)</f>
        <v>0</v>
      </c>
      <c r="X113" s="12">
        <f>_xlfn.XLOOKUP(Tabell4[[#This Row],[Namn]],Blad3!H:H,Blad3!K:K)</f>
        <v>0</v>
      </c>
      <c r="Y113" s="12">
        <f>_xlfn.XLOOKUP(Tabell4[[#This Row],[Namn]],Blad3!H:H,Blad3!L:L)</f>
        <v>0</v>
      </c>
    </row>
    <row r="114" spans="1:25" x14ac:dyDescent="0.25">
      <c r="A114" s="15">
        <f>Tabell4[[#This Row],[RANK MATCHER]]</f>
        <v>100</v>
      </c>
      <c r="B114" s="11" t="s">
        <v>94</v>
      </c>
      <c r="C114" s="12">
        <f>SUMIF('ALLA ÅR'!B:B,Tabell4[[#This Row],[Namn]],'ALLA ÅR'!C:C)</f>
        <v>12</v>
      </c>
      <c r="D114" s="12">
        <f>SUMIF('ALLA ÅR'!B:B,Tabell4[[#This Row],[Namn]],'ALLA ÅR'!E:E)</f>
        <v>0</v>
      </c>
      <c r="E114" s="12">
        <f>SUMIF('ALLA ÅR'!B:B,Tabell4[[#This Row],[Namn]],'ALLA ÅR'!F:F)</f>
        <v>0</v>
      </c>
      <c r="F114" s="12">
        <f>SUMIF('ALLA ÅR'!B:B,Tabell4[[#This Row],[Namn]],'ALLA ÅR'!G:G)</f>
        <v>0</v>
      </c>
      <c r="G114" s="12">
        <f>VLOOKUP(Tabell4[[#This Row],[Namn]],'ALLA ÅR'!B:J,9,0)</f>
        <v>2021</v>
      </c>
      <c r="H114" s="12">
        <f>COUNTIF('ALLA ÅR'!B:B,Tabell4[[#This Row],[Namn]])</f>
        <v>3</v>
      </c>
      <c r="I114" s="12">
        <f>VLOOKUP(Tabell4[[#This Row],[Namn]],'ALLA ÅR'!B:L,11,0)</f>
        <v>20</v>
      </c>
      <c r="J114" s="12">
        <f>RANK(Tabell4[[#This Row],[MÅL]],F:F)</f>
        <v>107</v>
      </c>
      <c r="K114" s="12">
        <f>RANK(Tabell4[[#This Row],[VAR]],D:D)</f>
        <v>54</v>
      </c>
      <c r="L114" s="12">
        <f>RANK(Tabell4[[#This Row],[MAT]],C:C)</f>
        <v>100</v>
      </c>
      <c r="M114" s="14">
        <f>Tabell4[[#This Row],[MAT]]/Tabell4[[#This Row],[ANTAL MATCHER]]</f>
        <v>0.27272727272727271</v>
      </c>
      <c r="N114" s="12">
        <f>SUMIF('ALLA ÅR'!B:B,Tabell4[[#This Row],[Namn]],'ALLA ÅR'!H:H)</f>
        <v>44</v>
      </c>
      <c r="O114" s="12">
        <f>(Tabell4[[#This Row],[UTV]]*2)+Tabell4[[#This Row],[VAR]]</f>
        <v>0</v>
      </c>
      <c r="P114" s="12">
        <f>COUNTIF('100%'!B:B,Tabell4[[#This Row],[Namn]])</f>
        <v>0</v>
      </c>
      <c r="Q114" s="12">
        <f>_xlfn.XLOOKUP(Tabell4[[#This Row],[Namn]],Blad3!A:A,Blad3!B:B)</f>
        <v>4</v>
      </c>
      <c r="R114" s="12">
        <f>_xlfn.XLOOKUP(Tabell4[[#This Row],[Namn]],Blad3!A:A,Blad3!C:C)</f>
        <v>4</v>
      </c>
      <c r="S114" s="12">
        <f>_xlfn.XLOOKUP(Tabell4[[#This Row],[Namn]],Blad3!A:A,Blad3!D:D)</f>
        <v>0</v>
      </c>
      <c r="T114" s="12">
        <f>_xlfn.XLOOKUP(Tabell4[[#This Row],[Namn]],Blad3!A:A,Blad3!E:E)</f>
        <v>4</v>
      </c>
      <c r="U114" s="12">
        <f>RANK(Tabell4[[#This Row],[SÄS]],Tabell4[SÄS])</f>
        <v>33</v>
      </c>
      <c r="V114" s="12">
        <f>_xlfn.XLOOKUP(Tabell4[[#This Row],[Namn]],Blad3!H:H,Blad3!I:I)</f>
        <v>0</v>
      </c>
      <c r="W114" s="12">
        <f>_xlfn.XLOOKUP(Tabell4[[#This Row],[Namn]],Blad3!H:H,Blad3!J:J)</f>
        <v>0</v>
      </c>
      <c r="X114" s="12">
        <f>_xlfn.XLOOKUP(Tabell4[[#This Row],[Namn]],Blad3!H:H,Blad3!K:K)</f>
        <v>0</v>
      </c>
      <c r="Y114" s="12">
        <f>_xlfn.XLOOKUP(Tabell4[[#This Row],[Namn]],Blad3!H:H,Blad3!L:L)</f>
        <v>0</v>
      </c>
    </row>
    <row r="115" spans="1:25" x14ac:dyDescent="0.25">
      <c r="A115" s="15">
        <f>Tabell4[[#This Row],[RANK MATCHER]]</f>
        <v>100</v>
      </c>
      <c r="B115" s="11" t="s">
        <v>119</v>
      </c>
      <c r="C115" s="12">
        <f>SUMIF('ALLA ÅR'!B:B,Tabell4[[#This Row],[Namn]],'ALLA ÅR'!C:C)</f>
        <v>12</v>
      </c>
      <c r="D115" s="12">
        <f>SUMIF('ALLA ÅR'!B:B,Tabell4[[#This Row],[Namn]],'ALLA ÅR'!E:E)</f>
        <v>0</v>
      </c>
      <c r="E115" s="12">
        <f>SUMIF('ALLA ÅR'!B:B,Tabell4[[#This Row],[Namn]],'ALLA ÅR'!F:F)</f>
        <v>0</v>
      </c>
      <c r="F115" s="12">
        <f>SUMIF('ALLA ÅR'!B:B,Tabell4[[#This Row],[Namn]],'ALLA ÅR'!G:G)</f>
        <v>1</v>
      </c>
      <c r="G115" s="12">
        <f>VLOOKUP(Tabell4[[#This Row],[Namn]],'ALLA ÅR'!B:J,9,0)</f>
        <v>2017</v>
      </c>
      <c r="H115" s="12">
        <f>COUNTIF('ALLA ÅR'!B:B,Tabell4[[#This Row],[Namn]])</f>
        <v>2</v>
      </c>
      <c r="I115" s="12">
        <f>VLOOKUP(Tabell4[[#This Row],[Namn]],'ALLA ÅR'!B:L,11,0)</f>
        <v>16</v>
      </c>
      <c r="J115" s="12">
        <f>RANK(Tabell4[[#This Row],[MÅL]],F:F)</f>
        <v>67</v>
      </c>
      <c r="K115" s="12">
        <f>RANK(Tabell4[[#This Row],[VAR]],D:D)</f>
        <v>54</v>
      </c>
      <c r="L115" s="12">
        <f>RANK(Tabell4[[#This Row],[MAT]],C:C)</f>
        <v>100</v>
      </c>
      <c r="M115" s="14">
        <f>Tabell4[[#This Row],[MAT]]/Tabell4[[#This Row],[ANTAL MATCHER]]</f>
        <v>0.375</v>
      </c>
      <c r="N115" s="12">
        <f>SUMIF('ALLA ÅR'!B:B,Tabell4[[#This Row],[Namn]],'ALLA ÅR'!H:H)</f>
        <v>32</v>
      </c>
      <c r="O115" s="12">
        <f>(Tabell4[[#This Row],[UTV]]*2)+Tabell4[[#This Row],[VAR]]</f>
        <v>0</v>
      </c>
      <c r="P115" s="12">
        <f>COUNTIF('100%'!B:B,Tabell4[[#This Row],[Namn]])</f>
        <v>0</v>
      </c>
      <c r="Q115" s="12">
        <f>_xlfn.XLOOKUP(Tabell4[[#This Row],[Namn]],Blad3!A:A,Blad3!B:B)</f>
        <v>0</v>
      </c>
      <c r="R115" s="12">
        <f>_xlfn.XLOOKUP(Tabell4[[#This Row],[Namn]],Blad3!A:A,Blad3!C:C)</f>
        <v>0</v>
      </c>
      <c r="S115" s="12">
        <f>_xlfn.XLOOKUP(Tabell4[[#This Row],[Namn]],Blad3!A:A,Blad3!D:D)</f>
        <v>10</v>
      </c>
      <c r="T115" s="12">
        <f>_xlfn.XLOOKUP(Tabell4[[#This Row],[Namn]],Blad3!A:A,Blad3!E:E)</f>
        <v>2</v>
      </c>
      <c r="U115" s="12">
        <f>RANK(Tabell4[[#This Row],[SÄS]],Tabell4[SÄS])</f>
        <v>61</v>
      </c>
      <c r="V115" s="12">
        <f>_xlfn.XLOOKUP(Tabell4[[#This Row],[Namn]],Blad3!H:H,Blad3!I:I)</f>
        <v>0</v>
      </c>
      <c r="W115" s="12">
        <f>_xlfn.XLOOKUP(Tabell4[[#This Row],[Namn]],Blad3!H:H,Blad3!J:J)</f>
        <v>0</v>
      </c>
      <c r="X115" s="12">
        <f>_xlfn.XLOOKUP(Tabell4[[#This Row],[Namn]],Blad3!H:H,Blad3!K:K)</f>
        <v>1</v>
      </c>
      <c r="Y115" s="12">
        <f>_xlfn.XLOOKUP(Tabell4[[#This Row],[Namn]],Blad3!H:H,Blad3!L:L)</f>
        <v>0</v>
      </c>
    </row>
    <row r="116" spans="1:25" x14ac:dyDescent="0.25">
      <c r="A116" s="15">
        <f>Tabell4[[#This Row],[RANK MATCHER]]</f>
        <v>100</v>
      </c>
      <c r="B116" s="11" t="s">
        <v>151</v>
      </c>
      <c r="C116" s="12">
        <f>SUMIF('ALLA ÅR'!B:B,Tabell4[[#This Row],[Namn]],'ALLA ÅR'!C:C)</f>
        <v>12</v>
      </c>
      <c r="D116" s="12">
        <f>SUMIF('ALLA ÅR'!B:B,Tabell4[[#This Row],[Namn]],'ALLA ÅR'!E:E)</f>
        <v>0</v>
      </c>
      <c r="E116" s="12">
        <f>SUMIF('ALLA ÅR'!B:B,Tabell4[[#This Row],[Namn]],'ALLA ÅR'!F:F)</f>
        <v>0</v>
      </c>
      <c r="F116" s="12">
        <f>SUMIF('ALLA ÅR'!B:B,Tabell4[[#This Row],[Namn]],'ALLA ÅR'!G:G)</f>
        <v>1</v>
      </c>
      <c r="G116" s="12">
        <f>VLOOKUP(Tabell4[[#This Row],[Namn]],'ALLA ÅR'!B:J,9,0)</f>
        <v>2015</v>
      </c>
      <c r="H116" s="12">
        <f>COUNTIF('ALLA ÅR'!B:B,Tabell4[[#This Row],[Namn]])</f>
        <v>2</v>
      </c>
      <c r="I116" s="12">
        <f>VLOOKUP(Tabell4[[#This Row],[Namn]],'ALLA ÅR'!B:L,11,0)</f>
        <v>16</v>
      </c>
      <c r="J116" s="12">
        <f>RANK(Tabell4[[#This Row],[MÅL]],F:F)</f>
        <v>67</v>
      </c>
      <c r="K116" s="12">
        <f>RANK(Tabell4[[#This Row],[VAR]],D:D)</f>
        <v>54</v>
      </c>
      <c r="L116" s="12">
        <f>RANK(Tabell4[[#This Row],[MAT]],C:C)</f>
        <v>100</v>
      </c>
      <c r="M116" s="14">
        <f>Tabell4[[#This Row],[MAT]]/Tabell4[[#This Row],[ANTAL MATCHER]]</f>
        <v>0.30769230769230771</v>
      </c>
      <c r="N116" s="12">
        <f>SUMIF('ALLA ÅR'!B:B,Tabell4[[#This Row],[Namn]],'ALLA ÅR'!H:H)</f>
        <v>39</v>
      </c>
      <c r="O116" s="12">
        <f>(Tabell4[[#This Row],[UTV]]*2)+Tabell4[[#This Row],[VAR]]</f>
        <v>0</v>
      </c>
      <c r="P116" s="12">
        <f>COUNTIF('100%'!B:B,Tabell4[[#This Row],[Namn]])</f>
        <v>0</v>
      </c>
      <c r="Q116" s="12">
        <f>_xlfn.XLOOKUP(Tabell4[[#This Row],[Namn]],Blad3!A:A,Blad3!B:B)</f>
        <v>0</v>
      </c>
      <c r="R116" s="12">
        <f>_xlfn.XLOOKUP(Tabell4[[#This Row],[Namn]],Blad3!A:A,Blad3!C:C)</f>
        <v>0</v>
      </c>
      <c r="S116" s="12">
        <f>_xlfn.XLOOKUP(Tabell4[[#This Row],[Namn]],Blad3!A:A,Blad3!D:D)</f>
        <v>0</v>
      </c>
      <c r="T116" s="12">
        <f>_xlfn.XLOOKUP(Tabell4[[#This Row],[Namn]],Blad3!A:A,Blad3!E:E)</f>
        <v>12</v>
      </c>
      <c r="U116" s="12">
        <f>RANK(Tabell4[[#This Row],[SÄS]],Tabell4[SÄS])</f>
        <v>61</v>
      </c>
      <c r="V116" s="12">
        <f>_xlfn.XLOOKUP(Tabell4[[#This Row],[Namn]],Blad3!H:H,Blad3!I:I)</f>
        <v>0</v>
      </c>
      <c r="W116" s="12">
        <f>_xlfn.XLOOKUP(Tabell4[[#This Row],[Namn]],Blad3!H:H,Blad3!J:J)</f>
        <v>0</v>
      </c>
      <c r="X116" s="12">
        <f>_xlfn.XLOOKUP(Tabell4[[#This Row],[Namn]],Blad3!H:H,Blad3!K:K)</f>
        <v>0</v>
      </c>
      <c r="Y116" s="12">
        <f>_xlfn.XLOOKUP(Tabell4[[#This Row],[Namn]],Blad3!H:H,Blad3!L:L)</f>
        <v>1</v>
      </c>
    </row>
    <row r="117" spans="1:25" x14ac:dyDescent="0.25">
      <c r="A117" s="15">
        <f>Tabell4[[#This Row],[RANK MATCHER]]</f>
        <v>103</v>
      </c>
      <c r="B117" s="11" t="s">
        <v>42</v>
      </c>
      <c r="C117" s="12">
        <f>SUMIF('ALLA ÅR'!B:B,Tabell4[[#This Row],[Namn]],'ALLA ÅR'!C:C)</f>
        <v>11</v>
      </c>
      <c r="D117" s="12">
        <f>SUMIF('ALLA ÅR'!B:B,Tabell4[[#This Row],[Namn]],'ALLA ÅR'!E:E)</f>
        <v>0</v>
      </c>
      <c r="E117" s="12">
        <f>SUMIF('ALLA ÅR'!B:B,Tabell4[[#This Row],[Namn]],'ALLA ÅR'!F:F)</f>
        <v>0</v>
      </c>
      <c r="F117" s="12">
        <f>SUMIF('ALLA ÅR'!B:B,Tabell4[[#This Row],[Namn]],'ALLA ÅR'!G:G)</f>
        <v>0</v>
      </c>
      <c r="G117" s="12">
        <f>VLOOKUP(Tabell4[[#This Row],[Namn]],'ALLA ÅR'!B:J,9,0)</f>
        <v>2026</v>
      </c>
      <c r="H117" s="12">
        <f>COUNTIF('ALLA ÅR'!B:B,Tabell4[[#This Row],[Namn]])</f>
        <v>3</v>
      </c>
      <c r="I117" s="12">
        <f>VLOOKUP(Tabell4[[#This Row],[Namn]],'ALLA ÅR'!B:L,11,0)</f>
        <v>18</v>
      </c>
      <c r="J117" s="12">
        <f>RANK(Tabell4[[#This Row],[MÅL]],F:F)</f>
        <v>107</v>
      </c>
      <c r="K117" s="12">
        <f>RANK(Tabell4[[#This Row],[VAR]],D:D)</f>
        <v>54</v>
      </c>
      <c r="L117" s="12">
        <f>RANK(Tabell4[[#This Row],[MAT]],C:C)</f>
        <v>103</v>
      </c>
      <c r="M117" s="14">
        <f>Tabell4[[#This Row],[MAT]]/Tabell4[[#This Row],[ANTAL MATCHER]]</f>
        <v>0.29729729729729731</v>
      </c>
      <c r="N117" s="12">
        <f>SUMIF('ALLA ÅR'!B:B,Tabell4[[#This Row],[Namn]],'ALLA ÅR'!H:H)</f>
        <v>37</v>
      </c>
      <c r="O117" s="12">
        <f>(Tabell4[[#This Row],[UTV]]*2)+Tabell4[[#This Row],[VAR]]</f>
        <v>0</v>
      </c>
      <c r="P117" s="12">
        <f>COUNTIF('100%'!B:B,Tabell4[[#This Row],[Namn]])</f>
        <v>0</v>
      </c>
      <c r="Q117" s="12">
        <f>_xlfn.XLOOKUP(Tabell4[[#This Row],[Namn]],Blad3!A:A,Blad3!B:B)</f>
        <v>0</v>
      </c>
      <c r="R117" s="12">
        <f>_xlfn.XLOOKUP(Tabell4[[#This Row],[Namn]],Blad3!A:A,Blad3!C:C)</f>
        <v>7</v>
      </c>
      <c r="S117" s="12">
        <f>_xlfn.XLOOKUP(Tabell4[[#This Row],[Namn]],Blad3!A:A,Blad3!D:D)</f>
        <v>0</v>
      </c>
      <c r="T117" s="12">
        <f>_xlfn.XLOOKUP(Tabell4[[#This Row],[Namn]],Blad3!A:A,Blad3!E:E)</f>
        <v>4</v>
      </c>
      <c r="U117" s="12">
        <f>RANK(Tabell4[[#This Row],[SÄS]],Tabell4[SÄS])</f>
        <v>33</v>
      </c>
      <c r="V117" s="12">
        <f>_xlfn.XLOOKUP(Tabell4[[#This Row],[Namn]],Blad3!H:H,Blad3!I:I)</f>
        <v>0</v>
      </c>
      <c r="W117" s="12">
        <f>_xlfn.XLOOKUP(Tabell4[[#This Row],[Namn]],Blad3!H:H,Blad3!J:J)</f>
        <v>0</v>
      </c>
      <c r="X117" s="12">
        <f>_xlfn.XLOOKUP(Tabell4[[#This Row],[Namn]],Blad3!H:H,Blad3!K:K)</f>
        <v>0</v>
      </c>
      <c r="Y117" s="12">
        <f>_xlfn.XLOOKUP(Tabell4[[#This Row],[Namn]],Blad3!H:H,Blad3!L:L)</f>
        <v>0</v>
      </c>
    </row>
    <row r="118" spans="1:25" x14ac:dyDescent="0.25">
      <c r="A118" s="15">
        <f>Tabell4[[#This Row],[RANK MATCHER]]</f>
        <v>103</v>
      </c>
      <c r="B118" s="11" t="s">
        <v>152</v>
      </c>
      <c r="C118" s="12">
        <f>SUMIF('ALLA ÅR'!B:B,Tabell4[[#This Row],[Namn]],'ALLA ÅR'!C:C)</f>
        <v>11</v>
      </c>
      <c r="D118" s="12">
        <f>SUMIF('ALLA ÅR'!B:B,Tabell4[[#This Row],[Namn]],'ALLA ÅR'!E:E)</f>
        <v>0</v>
      </c>
      <c r="E118" s="12">
        <f>SUMIF('ALLA ÅR'!B:B,Tabell4[[#This Row],[Namn]],'ALLA ÅR'!F:F)</f>
        <v>0</v>
      </c>
      <c r="F118" s="12">
        <f>SUMIF('ALLA ÅR'!B:B,Tabell4[[#This Row],[Namn]],'ALLA ÅR'!G:G)</f>
        <v>0</v>
      </c>
      <c r="G118" s="12">
        <f>VLOOKUP(Tabell4[[#This Row],[Namn]],'ALLA ÅR'!B:J,9,0)</f>
        <v>2015</v>
      </c>
      <c r="H118" s="12">
        <f>COUNTIF('ALLA ÅR'!B:B,Tabell4[[#This Row],[Namn]])</f>
        <v>1</v>
      </c>
      <c r="I118" s="12">
        <f>VLOOKUP(Tabell4[[#This Row],[Namn]],'ALLA ÅR'!B:L,11,0)</f>
        <v>15</v>
      </c>
      <c r="J118" s="12">
        <f>RANK(Tabell4[[#This Row],[MÅL]],F:F)</f>
        <v>107</v>
      </c>
      <c r="K118" s="12">
        <f>RANK(Tabell4[[#This Row],[VAR]],D:D)</f>
        <v>54</v>
      </c>
      <c r="L118" s="12">
        <f>RANK(Tabell4[[#This Row],[MAT]],C:C)</f>
        <v>103</v>
      </c>
      <c r="M118" s="14">
        <f>Tabell4[[#This Row],[MAT]]/Tabell4[[#This Row],[ANTAL MATCHER]]</f>
        <v>0.47826086956521741</v>
      </c>
      <c r="N118" s="12">
        <f>SUMIF('ALLA ÅR'!B:B,Tabell4[[#This Row],[Namn]],'ALLA ÅR'!H:H)</f>
        <v>23</v>
      </c>
      <c r="O118" s="12">
        <f>(Tabell4[[#This Row],[UTV]]*2)+Tabell4[[#This Row],[VAR]]</f>
        <v>0</v>
      </c>
      <c r="P118" s="12">
        <f>COUNTIF('100%'!B:B,Tabell4[[#This Row],[Namn]])</f>
        <v>0</v>
      </c>
      <c r="Q118" s="12">
        <f>_xlfn.XLOOKUP(Tabell4[[#This Row],[Namn]],Blad3!A:A,Blad3!B:B)</f>
        <v>0</v>
      </c>
      <c r="R118" s="12">
        <f>_xlfn.XLOOKUP(Tabell4[[#This Row],[Namn]],Blad3!A:A,Blad3!C:C)</f>
        <v>0</v>
      </c>
      <c r="S118" s="12">
        <f>_xlfn.XLOOKUP(Tabell4[[#This Row],[Namn]],Blad3!A:A,Blad3!D:D)</f>
        <v>0</v>
      </c>
      <c r="T118" s="12">
        <f>_xlfn.XLOOKUP(Tabell4[[#This Row],[Namn]],Blad3!A:A,Blad3!E:E)</f>
        <v>11</v>
      </c>
      <c r="U118" s="12">
        <f>RANK(Tabell4[[#This Row],[SÄS]],Tabell4[SÄS])</f>
        <v>114</v>
      </c>
      <c r="V118" s="12">
        <f>_xlfn.XLOOKUP(Tabell4[[#This Row],[Namn]],Blad3!H:H,Blad3!I:I)</f>
        <v>0</v>
      </c>
      <c r="W118" s="12">
        <f>_xlfn.XLOOKUP(Tabell4[[#This Row],[Namn]],Blad3!H:H,Blad3!J:J)</f>
        <v>0</v>
      </c>
      <c r="X118" s="12">
        <f>_xlfn.XLOOKUP(Tabell4[[#This Row],[Namn]],Blad3!H:H,Blad3!K:K)</f>
        <v>0</v>
      </c>
      <c r="Y118" s="12">
        <f>_xlfn.XLOOKUP(Tabell4[[#This Row],[Namn]],Blad3!H:H,Blad3!L:L)</f>
        <v>0</v>
      </c>
    </row>
    <row r="119" spans="1:25" x14ac:dyDescent="0.25">
      <c r="A119" s="15">
        <f>Tabell4[[#This Row],[RANK MATCHER]]</f>
        <v>103</v>
      </c>
      <c r="B119" s="11" t="s">
        <v>164</v>
      </c>
      <c r="C119" s="12">
        <f>SUMIF('ALLA ÅR'!B:B,Tabell4[[#This Row],[Namn]],'ALLA ÅR'!C:C)</f>
        <v>11</v>
      </c>
      <c r="D119" s="12">
        <f>SUMIF('ALLA ÅR'!B:B,Tabell4[[#This Row],[Namn]],'ALLA ÅR'!E:E)</f>
        <v>0</v>
      </c>
      <c r="E119" s="12">
        <f>SUMIF('ALLA ÅR'!B:B,Tabell4[[#This Row],[Namn]],'ALLA ÅR'!F:F)</f>
        <v>0</v>
      </c>
      <c r="F119" s="12">
        <f>SUMIF('ALLA ÅR'!B:B,Tabell4[[#This Row],[Namn]],'ALLA ÅR'!G:G)</f>
        <v>0</v>
      </c>
      <c r="G119" s="12">
        <f>VLOOKUP(Tabell4[[#This Row],[Namn]],'ALLA ÅR'!B:J,9,0)</f>
        <v>2015</v>
      </c>
      <c r="H119" s="12">
        <f>COUNTIF('ALLA ÅR'!B:B,Tabell4[[#This Row],[Namn]])</f>
        <v>3</v>
      </c>
      <c r="I119" s="12">
        <f>VLOOKUP(Tabell4[[#This Row],[Namn]],'ALLA ÅR'!B:L,11,0)</f>
        <v>17</v>
      </c>
      <c r="J119" s="12">
        <f>RANK(Tabell4[[#This Row],[MÅL]],F:F)</f>
        <v>107</v>
      </c>
      <c r="K119" s="12">
        <f>RANK(Tabell4[[#This Row],[VAR]],D:D)</f>
        <v>54</v>
      </c>
      <c r="L119" s="12">
        <f>RANK(Tabell4[[#This Row],[MAT]],C:C)</f>
        <v>103</v>
      </c>
      <c r="M119" s="14">
        <f>Tabell4[[#This Row],[MAT]]/Tabell4[[#This Row],[ANTAL MATCHER]]</f>
        <v>0.20754716981132076</v>
      </c>
      <c r="N119" s="12">
        <f>SUMIF('ALLA ÅR'!B:B,Tabell4[[#This Row],[Namn]],'ALLA ÅR'!H:H)</f>
        <v>53</v>
      </c>
      <c r="O119" s="12">
        <f>(Tabell4[[#This Row],[UTV]]*2)+Tabell4[[#This Row],[VAR]]</f>
        <v>0</v>
      </c>
      <c r="P119" s="12">
        <f>COUNTIF('100%'!B:B,Tabell4[[#This Row],[Namn]])</f>
        <v>0</v>
      </c>
      <c r="Q119" s="12">
        <f>_xlfn.XLOOKUP(Tabell4[[#This Row],[Namn]],Blad3!A:A,Blad3!B:B)</f>
        <v>0</v>
      </c>
      <c r="R119" s="12">
        <f>_xlfn.XLOOKUP(Tabell4[[#This Row],[Namn]],Blad3!A:A,Blad3!C:C)</f>
        <v>0</v>
      </c>
      <c r="S119" s="12">
        <f>_xlfn.XLOOKUP(Tabell4[[#This Row],[Namn]],Blad3!A:A,Blad3!D:D)</f>
        <v>0</v>
      </c>
      <c r="T119" s="12">
        <f>_xlfn.XLOOKUP(Tabell4[[#This Row],[Namn]],Blad3!A:A,Blad3!E:E)</f>
        <v>11</v>
      </c>
      <c r="U119" s="12">
        <f>RANK(Tabell4[[#This Row],[SÄS]],Tabell4[SÄS])</f>
        <v>33</v>
      </c>
      <c r="V119" s="12">
        <f>_xlfn.XLOOKUP(Tabell4[[#This Row],[Namn]],Blad3!H:H,Blad3!I:I)</f>
        <v>0</v>
      </c>
      <c r="W119" s="12">
        <f>_xlfn.XLOOKUP(Tabell4[[#This Row],[Namn]],Blad3!H:H,Blad3!J:J)</f>
        <v>0</v>
      </c>
      <c r="X119" s="12">
        <f>_xlfn.XLOOKUP(Tabell4[[#This Row],[Namn]],Blad3!H:H,Blad3!K:K)</f>
        <v>0</v>
      </c>
      <c r="Y119" s="12">
        <f>_xlfn.XLOOKUP(Tabell4[[#This Row],[Namn]],Blad3!H:H,Blad3!L:L)</f>
        <v>0</v>
      </c>
    </row>
    <row r="120" spans="1:25" x14ac:dyDescent="0.25">
      <c r="A120" s="15">
        <f>Tabell4[[#This Row],[RANK MATCHER]]</f>
        <v>106</v>
      </c>
      <c r="B120" s="11" t="s">
        <v>24</v>
      </c>
      <c r="C120" s="12">
        <f>SUMIF('ALLA ÅR'!B:B,Tabell4[[#This Row],[Namn]],'ALLA ÅR'!C:C)</f>
        <v>10</v>
      </c>
      <c r="D120" s="12">
        <f>SUMIF('ALLA ÅR'!B:B,Tabell4[[#This Row],[Namn]],'ALLA ÅR'!E:E)</f>
        <v>0</v>
      </c>
      <c r="E120" s="12">
        <f>SUMIF('ALLA ÅR'!B:B,Tabell4[[#This Row],[Namn]],'ALLA ÅR'!F:F)</f>
        <v>0</v>
      </c>
      <c r="F120" s="12">
        <f>SUMIF('ALLA ÅR'!B:B,Tabell4[[#This Row],[Namn]],'ALLA ÅR'!G:G)</f>
        <v>1</v>
      </c>
      <c r="G120" s="12">
        <f>VLOOKUP(Tabell4[[#This Row],[Namn]],'ALLA ÅR'!B:J,9,0)</f>
        <v>2026</v>
      </c>
      <c r="H120" s="12">
        <f>COUNTIF('ALLA ÅR'!B:B,Tabell4[[#This Row],[Namn]])</f>
        <v>3</v>
      </c>
      <c r="I120" s="12">
        <f>VLOOKUP(Tabell4[[#This Row],[Namn]],'ALLA ÅR'!B:L,11,0)</f>
        <v>17</v>
      </c>
      <c r="J120" s="12">
        <f>RANK(Tabell4[[#This Row],[MÅL]],F:F)</f>
        <v>67</v>
      </c>
      <c r="K120" s="12">
        <f>RANK(Tabell4[[#This Row],[VAR]],D:D)</f>
        <v>54</v>
      </c>
      <c r="L120" s="12">
        <f>RANK(Tabell4[[#This Row],[MAT]],C:C)</f>
        <v>106</v>
      </c>
      <c r="M120" s="14">
        <f>Tabell4[[#This Row],[MAT]]/Tabell4[[#This Row],[ANTAL MATCHER]]</f>
        <v>0.27027027027027029</v>
      </c>
      <c r="N120" s="12">
        <f>SUMIF('ALLA ÅR'!B:B,Tabell4[[#This Row],[Namn]],'ALLA ÅR'!H:H)</f>
        <v>37</v>
      </c>
      <c r="O120" s="12">
        <f>(Tabell4[[#This Row],[UTV]]*2)+Tabell4[[#This Row],[VAR]]</f>
        <v>0</v>
      </c>
      <c r="P120" s="12">
        <f>COUNTIF('100%'!B:B,Tabell4[[#This Row],[Namn]])</f>
        <v>1</v>
      </c>
      <c r="Q120" s="12">
        <f>_xlfn.XLOOKUP(Tabell4[[#This Row],[Namn]],Blad3!A:A,Blad3!B:B)</f>
        <v>0</v>
      </c>
      <c r="R120" s="12">
        <f>_xlfn.XLOOKUP(Tabell4[[#This Row],[Namn]],Blad3!A:A,Blad3!C:C)</f>
        <v>6</v>
      </c>
      <c r="S120" s="12">
        <f>_xlfn.XLOOKUP(Tabell4[[#This Row],[Namn]],Blad3!A:A,Blad3!D:D)</f>
        <v>0</v>
      </c>
      <c r="T120" s="12">
        <f>_xlfn.XLOOKUP(Tabell4[[#This Row],[Namn]],Blad3!A:A,Blad3!E:E)</f>
        <v>4</v>
      </c>
      <c r="U120" s="12">
        <f>RANK(Tabell4[[#This Row],[SÄS]],Tabell4[SÄS])</f>
        <v>33</v>
      </c>
      <c r="V120" s="12">
        <f>_xlfn.XLOOKUP(Tabell4[[#This Row],[Namn]],Blad3!H:H,Blad3!I:I)</f>
        <v>0</v>
      </c>
      <c r="W120" s="12">
        <f>_xlfn.XLOOKUP(Tabell4[[#This Row],[Namn]],Blad3!H:H,Blad3!J:J)</f>
        <v>0</v>
      </c>
      <c r="X120" s="12">
        <f>_xlfn.XLOOKUP(Tabell4[[#This Row],[Namn]],Blad3!H:H,Blad3!K:K)</f>
        <v>0</v>
      </c>
      <c r="Y120" s="12">
        <f>_xlfn.XLOOKUP(Tabell4[[#This Row],[Namn]],Blad3!H:H,Blad3!L:L)</f>
        <v>1</v>
      </c>
    </row>
    <row r="121" spans="1:25" x14ac:dyDescent="0.25">
      <c r="A121" s="15">
        <f>Tabell4[[#This Row],[RANK MATCHER]]</f>
        <v>106</v>
      </c>
      <c r="B121" s="11" t="s">
        <v>41</v>
      </c>
      <c r="C121" s="12">
        <f>SUMIF('ALLA ÅR'!B:B,Tabell4[[#This Row],[Namn]],'ALLA ÅR'!C:C)</f>
        <v>10</v>
      </c>
      <c r="D121" s="12">
        <f>SUMIF('ALLA ÅR'!B:B,Tabell4[[#This Row],[Namn]],'ALLA ÅR'!E:E)</f>
        <v>0</v>
      </c>
      <c r="E121" s="12">
        <f>SUMIF('ALLA ÅR'!B:B,Tabell4[[#This Row],[Namn]],'ALLA ÅR'!F:F)</f>
        <v>0</v>
      </c>
      <c r="F121" s="12">
        <f>SUMIF('ALLA ÅR'!B:B,Tabell4[[#This Row],[Namn]],'ALLA ÅR'!G:G)</f>
        <v>0</v>
      </c>
      <c r="G121" s="12">
        <f>VLOOKUP(Tabell4[[#This Row],[Namn]],'ALLA ÅR'!B:J,9,0)</f>
        <v>2026</v>
      </c>
      <c r="H121" s="12">
        <f>COUNTIF('ALLA ÅR'!B:B,Tabell4[[#This Row],[Namn]])</f>
        <v>5</v>
      </c>
      <c r="I121" s="12">
        <f>VLOOKUP(Tabell4[[#This Row],[Namn]],'ALLA ÅR'!B:L,11,0)</f>
        <v>21</v>
      </c>
      <c r="J121" s="12">
        <f>RANK(Tabell4[[#This Row],[MÅL]],F:F)</f>
        <v>107</v>
      </c>
      <c r="K121" s="12">
        <f>RANK(Tabell4[[#This Row],[VAR]],D:D)</f>
        <v>54</v>
      </c>
      <c r="L121" s="12">
        <f>RANK(Tabell4[[#This Row],[MAT]],C:C)</f>
        <v>106</v>
      </c>
      <c r="M121" s="14">
        <f>Tabell4[[#This Row],[MAT]]/Tabell4[[#This Row],[ANTAL MATCHER]]</f>
        <v>0.12987012987012986</v>
      </c>
      <c r="N121" s="12">
        <f>SUMIF('ALLA ÅR'!B:B,Tabell4[[#This Row],[Namn]],'ALLA ÅR'!H:H)</f>
        <v>77</v>
      </c>
      <c r="O121" s="12">
        <f>(Tabell4[[#This Row],[UTV]]*2)+Tabell4[[#This Row],[VAR]]</f>
        <v>0</v>
      </c>
      <c r="P121" s="12">
        <f>COUNTIF('100%'!B:B,Tabell4[[#This Row],[Namn]])</f>
        <v>0</v>
      </c>
      <c r="Q121" s="12">
        <f>_xlfn.XLOOKUP(Tabell4[[#This Row],[Namn]],Blad3!A:A,Blad3!B:B)</f>
        <v>0</v>
      </c>
      <c r="R121" s="12">
        <f>_xlfn.XLOOKUP(Tabell4[[#This Row],[Namn]],Blad3!A:A,Blad3!C:C)</f>
        <v>8</v>
      </c>
      <c r="S121" s="12">
        <f>_xlfn.XLOOKUP(Tabell4[[#This Row],[Namn]],Blad3!A:A,Blad3!D:D)</f>
        <v>0</v>
      </c>
      <c r="T121" s="12">
        <f>_xlfn.XLOOKUP(Tabell4[[#This Row],[Namn]],Blad3!A:A,Blad3!E:E)</f>
        <v>2</v>
      </c>
      <c r="U121" s="12">
        <f>RANK(Tabell4[[#This Row],[SÄS]],Tabell4[SÄS])</f>
        <v>10</v>
      </c>
      <c r="V121" s="12">
        <f>_xlfn.XLOOKUP(Tabell4[[#This Row],[Namn]],Blad3!H:H,Blad3!I:I)</f>
        <v>0</v>
      </c>
      <c r="W121" s="12">
        <f>_xlfn.XLOOKUP(Tabell4[[#This Row],[Namn]],Blad3!H:H,Blad3!J:J)</f>
        <v>0</v>
      </c>
      <c r="X121" s="12">
        <f>_xlfn.XLOOKUP(Tabell4[[#This Row],[Namn]],Blad3!H:H,Blad3!K:K)</f>
        <v>0</v>
      </c>
      <c r="Y121" s="12">
        <f>_xlfn.XLOOKUP(Tabell4[[#This Row],[Namn]],Blad3!H:H,Blad3!L:L)</f>
        <v>0</v>
      </c>
    </row>
    <row r="122" spans="1:25" x14ac:dyDescent="0.25">
      <c r="A122" s="15">
        <f>Tabell4[[#This Row],[RANK MATCHER]]</f>
        <v>106</v>
      </c>
      <c r="B122" s="11" t="s">
        <v>173</v>
      </c>
      <c r="C122" s="12">
        <f>SUMIF('ALLA ÅR'!B:B,Tabell4[[#This Row],[Namn]],'ALLA ÅR'!C:C)</f>
        <v>10</v>
      </c>
      <c r="D122" s="12">
        <f>SUMIF('ALLA ÅR'!B:B,Tabell4[[#This Row],[Namn]],'ALLA ÅR'!E:E)</f>
        <v>0</v>
      </c>
      <c r="E122" s="12">
        <f>SUMIF('ALLA ÅR'!B:B,Tabell4[[#This Row],[Namn]],'ALLA ÅR'!F:F)</f>
        <v>0</v>
      </c>
      <c r="F122" s="12">
        <f>SUMIF('ALLA ÅR'!B:B,Tabell4[[#This Row],[Namn]],'ALLA ÅR'!G:G)</f>
        <v>1</v>
      </c>
      <c r="G122" s="12">
        <f>VLOOKUP(Tabell4[[#This Row],[Namn]],'ALLA ÅR'!B:J,9,0)</f>
        <v>2014</v>
      </c>
      <c r="H122" s="12">
        <f>COUNTIF('ALLA ÅR'!B:B,Tabell4[[#This Row],[Namn]])</f>
        <v>2</v>
      </c>
      <c r="I122" s="12">
        <f>VLOOKUP(Tabell4[[#This Row],[Namn]],'ALLA ÅR'!B:L,11,0)</f>
        <v>15</v>
      </c>
      <c r="J122" s="12">
        <f>RANK(Tabell4[[#This Row],[MÅL]],F:F)</f>
        <v>67</v>
      </c>
      <c r="K122" s="12">
        <f>RANK(Tabell4[[#This Row],[VAR]],D:D)</f>
        <v>54</v>
      </c>
      <c r="L122" s="12">
        <f>RANK(Tabell4[[#This Row],[MAT]],C:C)</f>
        <v>106</v>
      </c>
      <c r="M122" s="14">
        <f>Tabell4[[#This Row],[MAT]]/Tabell4[[#This Row],[ANTAL MATCHER]]</f>
        <v>0.33333333333333331</v>
      </c>
      <c r="N122" s="12">
        <f>SUMIF('ALLA ÅR'!B:B,Tabell4[[#This Row],[Namn]],'ALLA ÅR'!H:H)</f>
        <v>30</v>
      </c>
      <c r="O122" s="12">
        <f>(Tabell4[[#This Row],[UTV]]*2)+Tabell4[[#This Row],[VAR]]</f>
        <v>0</v>
      </c>
      <c r="P122" s="12">
        <f>COUNTIF('100%'!B:B,Tabell4[[#This Row],[Namn]])</f>
        <v>0</v>
      </c>
      <c r="Q122" s="12">
        <f>_xlfn.XLOOKUP(Tabell4[[#This Row],[Namn]],Blad3!A:A,Blad3!B:B)</f>
        <v>0</v>
      </c>
      <c r="R122" s="12">
        <f>_xlfn.XLOOKUP(Tabell4[[#This Row],[Namn]],Blad3!A:A,Blad3!C:C)</f>
        <v>0</v>
      </c>
      <c r="S122" s="12">
        <f>_xlfn.XLOOKUP(Tabell4[[#This Row],[Namn]],Blad3!A:A,Blad3!D:D)</f>
        <v>0</v>
      </c>
      <c r="T122" s="12">
        <f>_xlfn.XLOOKUP(Tabell4[[#This Row],[Namn]],Blad3!A:A,Blad3!E:E)</f>
        <v>10</v>
      </c>
      <c r="U122" s="12">
        <f>RANK(Tabell4[[#This Row],[SÄS]],Tabell4[SÄS])</f>
        <v>61</v>
      </c>
      <c r="V122" s="12">
        <f>_xlfn.XLOOKUP(Tabell4[[#This Row],[Namn]],Blad3!H:H,Blad3!I:I)</f>
        <v>0</v>
      </c>
      <c r="W122" s="12">
        <f>_xlfn.XLOOKUP(Tabell4[[#This Row],[Namn]],Blad3!H:H,Blad3!J:J)</f>
        <v>0</v>
      </c>
      <c r="X122" s="12">
        <f>_xlfn.XLOOKUP(Tabell4[[#This Row],[Namn]],Blad3!H:H,Blad3!K:K)</f>
        <v>0</v>
      </c>
      <c r="Y122" s="12">
        <f>_xlfn.XLOOKUP(Tabell4[[#This Row],[Namn]],Blad3!H:H,Blad3!L:L)</f>
        <v>1</v>
      </c>
    </row>
    <row r="123" spans="1:25" x14ac:dyDescent="0.25">
      <c r="A123" s="15">
        <f>Tabell4[[#This Row],[RANK MATCHER]]</f>
        <v>106</v>
      </c>
      <c r="B123" s="11" t="s">
        <v>201</v>
      </c>
      <c r="C123" s="12">
        <f>SUMIF('ALLA ÅR'!B:B,Tabell4[[#This Row],[Namn]],'ALLA ÅR'!C:C)</f>
        <v>10</v>
      </c>
      <c r="D123" s="12">
        <f>SUMIF('ALLA ÅR'!B:B,Tabell4[[#This Row],[Namn]],'ALLA ÅR'!E:E)</f>
        <v>0</v>
      </c>
      <c r="E123" s="12">
        <f>SUMIF('ALLA ÅR'!B:B,Tabell4[[#This Row],[Namn]],'ALLA ÅR'!F:F)</f>
        <v>0</v>
      </c>
      <c r="F123" s="12">
        <f>SUMIF('ALLA ÅR'!B:B,Tabell4[[#This Row],[Namn]],'ALLA ÅR'!G:G)</f>
        <v>0</v>
      </c>
      <c r="G123" s="12">
        <f>VLOOKUP(Tabell4[[#This Row],[Namn]],'ALLA ÅR'!B:J,9,0)</f>
        <v>2010</v>
      </c>
      <c r="H123" s="12">
        <f>COUNTIF('ALLA ÅR'!B:B,Tabell4[[#This Row],[Namn]])</f>
        <v>1</v>
      </c>
      <c r="I123" s="12">
        <f>VLOOKUP(Tabell4[[#This Row],[Namn]],'ALLA ÅR'!B:L,11,0)</f>
        <v>18</v>
      </c>
      <c r="J123" s="12">
        <f>RANK(Tabell4[[#This Row],[MÅL]],F:F)</f>
        <v>107</v>
      </c>
      <c r="K123" s="12">
        <f>RANK(Tabell4[[#This Row],[VAR]],D:D)</f>
        <v>54</v>
      </c>
      <c r="L123" s="12">
        <f>RANK(Tabell4[[#This Row],[MAT]],C:C)</f>
        <v>106</v>
      </c>
      <c r="M123" s="14">
        <f>Tabell4[[#This Row],[MAT]]/Tabell4[[#This Row],[ANTAL MATCHER]]</f>
        <v>0.45454545454545453</v>
      </c>
      <c r="N123" s="12">
        <f>SUMIF('ALLA ÅR'!B:B,Tabell4[[#This Row],[Namn]],'ALLA ÅR'!H:H)</f>
        <v>22</v>
      </c>
      <c r="O123" s="12">
        <f>(Tabell4[[#This Row],[UTV]]*2)+Tabell4[[#This Row],[VAR]]</f>
        <v>0</v>
      </c>
      <c r="P123" s="12">
        <f>COUNTIF('100%'!B:B,Tabell4[[#This Row],[Namn]])</f>
        <v>0</v>
      </c>
      <c r="Q123" s="12">
        <f>_xlfn.XLOOKUP(Tabell4[[#This Row],[Namn]],Blad3!A:A,Blad3!B:B)</f>
        <v>0</v>
      </c>
      <c r="R123" s="12">
        <f>_xlfn.XLOOKUP(Tabell4[[#This Row],[Namn]],Blad3!A:A,Blad3!C:C)</f>
        <v>0</v>
      </c>
      <c r="S123" s="12">
        <f>_xlfn.XLOOKUP(Tabell4[[#This Row],[Namn]],Blad3!A:A,Blad3!D:D)</f>
        <v>10</v>
      </c>
      <c r="T123" s="12">
        <f>_xlfn.XLOOKUP(Tabell4[[#This Row],[Namn]],Blad3!A:A,Blad3!E:E)</f>
        <v>0</v>
      </c>
      <c r="U123" s="12">
        <f>RANK(Tabell4[[#This Row],[SÄS]],Tabell4[SÄS])</f>
        <v>114</v>
      </c>
      <c r="V123" s="12">
        <f>_xlfn.XLOOKUP(Tabell4[[#This Row],[Namn]],Blad3!H:H,Blad3!I:I)</f>
        <v>0</v>
      </c>
      <c r="W123" s="12">
        <f>_xlfn.XLOOKUP(Tabell4[[#This Row],[Namn]],Blad3!H:H,Blad3!J:J)</f>
        <v>0</v>
      </c>
      <c r="X123" s="12">
        <f>_xlfn.XLOOKUP(Tabell4[[#This Row],[Namn]],Blad3!H:H,Blad3!K:K)</f>
        <v>0</v>
      </c>
      <c r="Y123" s="12">
        <f>_xlfn.XLOOKUP(Tabell4[[#This Row],[Namn]],Blad3!H:H,Blad3!L:L)</f>
        <v>0</v>
      </c>
    </row>
    <row r="124" spans="1:25" x14ac:dyDescent="0.25">
      <c r="A124" s="15">
        <f>Tabell4[[#This Row],[RANK MATCHER]]</f>
        <v>106</v>
      </c>
      <c r="B124" s="11" t="s">
        <v>202</v>
      </c>
      <c r="C124" s="12">
        <f>SUMIF('ALLA ÅR'!B:B,Tabell4[[#This Row],[Namn]],'ALLA ÅR'!C:C)</f>
        <v>10</v>
      </c>
      <c r="D124" s="12">
        <f>SUMIF('ALLA ÅR'!B:B,Tabell4[[#This Row],[Namn]],'ALLA ÅR'!E:E)</f>
        <v>0</v>
      </c>
      <c r="E124" s="12">
        <f>SUMIF('ALLA ÅR'!B:B,Tabell4[[#This Row],[Namn]],'ALLA ÅR'!F:F)</f>
        <v>0</v>
      </c>
      <c r="F124" s="12">
        <f>SUMIF('ALLA ÅR'!B:B,Tabell4[[#This Row],[Namn]],'ALLA ÅR'!G:G)</f>
        <v>0</v>
      </c>
      <c r="G124" s="12">
        <f>VLOOKUP(Tabell4[[#This Row],[Namn]],'ALLA ÅR'!B:J,9,0)</f>
        <v>2010</v>
      </c>
      <c r="H124" s="12">
        <f>COUNTIF('ALLA ÅR'!B:B,Tabell4[[#This Row],[Namn]])</f>
        <v>1</v>
      </c>
      <c r="I124" s="12">
        <f>VLOOKUP(Tabell4[[#This Row],[Namn]],'ALLA ÅR'!B:L,11,0)</f>
        <v>40</v>
      </c>
      <c r="J124" s="12">
        <f>RANK(Tabell4[[#This Row],[MÅL]],F:F)</f>
        <v>107</v>
      </c>
      <c r="K124" s="12">
        <f>RANK(Tabell4[[#This Row],[VAR]],D:D)</f>
        <v>54</v>
      </c>
      <c r="L124" s="12">
        <f>RANK(Tabell4[[#This Row],[MAT]],C:C)</f>
        <v>106</v>
      </c>
      <c r="M124" s="14">
        <f>Tabell4[[#This Row],[MAT]]/Tabell4[[#This Row],[ANTAL MATCHER]]</f>
        <v>0.45454545454545453</v>
      </c>
      <c r="N124" s="12">
        <f>SUMIF('ALLA ÅR'!B:B,Tabell4[[#This Row],[Namn]],'ALLA ÅR'!H:H)</f>
        <v>22</v>
      </c>
      <c r="O124" s="12">
        <f>(Tabell4[[#This Row],[UTV]]*2)+Tabell4[[#This Row],[VAR]]</f>
        <v>0</v>
      </c>
      <c r="P124" s="12">
        <f>COUNTIF('100%'!B:B,Tabell4[[#This Row],[Namn]])</f>
        <v>0</v>
      </c>
      <c r="Q124" s="12">
        <f>_xlfn.XLOOKUP(Tabell4[[#This Row],[Namn]],Blad3!A:A,Blad3!B:B)</f>
        <v>0</v>
      </c>
      <c r="R124" s="12">
        <f>_xlfn.XLOOKUP(Tabell4[[#This Row],[Namn]],Blad3!A:A,Blad3!C:C)</f>
        <v>0</v>
      </c>
      <c r="S124" s="12">
        <f>_xlfn.XLOOKUP(Tabell4[[#This Row],[Namn]],Blad3!A:A,Blad3!D:D)</f>
        <v>10</v>
      </c>
      <c r="T124" s="12">
        <f>_xlfn.XLOOKUP(Tabell4[[#This Row],[Namn]],Blad3!A:A,Blad3!E:E)</f>
        <v>0</v>
      </c>
      <c r="U124" s="12">
        <f>RANK(Tabell4[[#This Row],[SÄS]],Tabell4[SÄS])</f>
        <v>114</v>
      </c>
      <c r="V124" s="12">
        <f>_xlfn.XLOOKUP(Tabell4[[#This Row],[Namn]],Blad3!H:H,Blad3!I:I)</f>
        <v>0</v>
      </c>
      <c r="W124" s="12">
        <f>_xlfn.XLOOKUP(Tabell4[[#This Row],[Namn]],Blad3!H:H,Blad3!J:J)</f>
        <v>0</v>
      </c>
      <c r="X124" s="12">
        <f>_xlfn.XLOOKUP(Tabell4[[#This Row],[Namn]],Blad3!H:H,Blad3!K:K)</f>
        <v>0</v>
      </c>
      <c r="Y124" s="12">
        <f>_xlfn.XLOOKUP(Tabell4[[#This Row],[Namn]],Blad3!H:H,Blad3!L:L)</f>
        <v>0</v>
      </c>
    </row>
    <row r="125" spans="1:25" x14ac:dyDescent="0.25">
      <c r="A125" s="15">
        <f>Tabell4[[#This Row],[RANK MATCHER]]</f>
        <v>111</v>
      </c>
      <c r="B125" s="11" t="s">
        <v>93</v>
      </c>
      <c r="C125" s="12">
        <f>SUMIF('ALLA ÅR'!B:B,Tabell4[[#This Row],[Namn]],'ALLA ÅR'!C:C)</f>
        <v>9</v>
      </c>
      <c r="D125" s="12">
        <f>SUMIF('ALLA ÅR'!B:B,Tabell4[[#This Row],[Namn]],'ALLA ÅR'!E:E)</f>
        <v>0</v>
      </c>
      <c r="E125" s="12">
        <f>SUMIF('ALLA ÅR'!B:B,Tabell4[[#This Row],[Namn]],'ALLA ÅR'!F:F)</f>
        <v>0</v>
      </c>
      <c r="F125" s="12">
        <f>SUMIF('ALLA ÅR'!B:B,Tabell4[[#This Row],[Namn]],'ALLA ÅR'!G:G)</f>
        <v>9</v>
      </c>
      <c r="G125" s="12">
        <f>VLOOKUP(Tabell4[[#This Row],[Namn]],'ALLA ÅR'!B:J,9,0)</f>
        <v>2021</v>
      </c>
      <c r="H125" s="12">
        <f>COUNTIF('ALLA ÅR'!B:B,Tabell4[[#This Row],[Namn]])</f>
        <v>1</v>
      </c>
      <c r="I125" s="12">
        <f>VLOOKUP(Tabell4[[#This Row],[Namn]],'ALLA ÅR'!B:L,11,0)</f>
        <v>20</v>
      </c>
      <c r="J125" s="12">
        <f>RANK(Tabell4[[#This Row],[MÅL]],F:F)</f>
        <v>25</v>
      </c>
      <c r="K125" s="12">
        <f>RANK(Tabell4[[#This Row],[VAR]],D:D)</f>
        <v>54</v>
      </c>
      <c r="L125" s="12">
        <f>RANK(Tabell4[[#This Row],[MAT]],C:C)</f>
        <v>111</v>
      </c>
      <c r="M125" s="14">
        <f>Tabell4[[#This Row],[MAT]]/Tabell4[[#This Row],[ANTAL MATCHER]]</f>
        <v>0.81818181818181823</v>
      </c>
      <c r="N125" s="12">
        <f>SUMIF('ALLA ÅR'!B:B,Tabell4[[#This Row],[Namn]],'ALLA ÅR'!H:H)</f>
        <v>11</v>
      </c>
      <c r="O125" s="12">
        <f>(Tabell4[[#This Row],[UTV]]*2)+Tabell4[[#This Row],[VAR]]</f>
        <v>0</v>
      </c>
      <c r="P125" s="12">
        <f>COUNTIF('100%'!B:B,Tabell4[[#This Row],[Namn]])</f>
        <v>0</v>
      </c>
      <c r="Q125" s="12">
        <f>_xlfn.XLOOKUP(Tabell4[[#This Row],[Namn]],Blad3!A:A,Blad3!B:B)</f>
        <v>0</v>
      </c>
      <c r="R125" s="12">
        <f>_xlfn.XLOOKUP(Tabell4[[#This Row],[Namn]],Blad3!A:A,Blad3!C:C)</f>
        <v>9</v>
      </c>
      <c r="S125" s="12">
        <f>_xlfn.XLOOKUP(Tabell4[[#This Row],[Namn]],Blad3!A:A,Blad3!D:D)</f>
        <v>0</v>
      </c>
      <c r="T125" s="12">
        <f>_xlfn.XLOOKUP(Tabell4[[#This Row],[Namn]],Blad3!A:A,Blad3!E:E)</f>
        <v>0</v>
      </c>
      <c r="U125" s="12">
        <f>RANK(Tabell4[[#This Row],[SÄS]],Tabell4[SÄS])</f>
        <v>114</v>
      </c>
      <c r="V125" s="12">
        <f>_xlfn.XLOOKUP(Tabell4[[#This Row],[Namn]],Blad3!H:H,Blad3!I:I)</f>
        <v>0</v>
      </c>
      <c r="W125" s="12">
        <f>_xlfn.XLOOKUP(Tabell4[[#This Row],[Namn]],Blad3!H:H,Blad3!J:J)</f>
        <v>9</v>
      </c>
      <c r="X125" s="12">
        <f>_xlfn.XLOOKUP(Tabell4[[#This Row],[Namn]],Blad3!H:H,Blad3!K:K)</f>
        <v>0</v>
      </c>
      <c r="Y125" s="12">
        <f>_xlfn.XLOOKUP(Tabell4[[#This Row],[Namn]],Blad3!H:H,Blad3!L:L)</f>
        <v>0</v>
      </c>
    </row>
    <row r="126" spans="1:25" x14ac:dyDescent="0.25">
      <c r="A126" s="15">
        <f>Tabell4[[#This Row],[RANK MATCHER]]</f>
        <v>111</v>
      </c>
      <c r="B126" s="11" t="s">
        <v>154</v>
      </c>
      <c r="C126" s="12">
        <f>SUMIF('ALLA ÅR'!B:B,Tabell4[[#This Row],[Namn]],'ALLA ÅR'!C:C)</f>
        <v>9</v>
      </c>
      <c r="D126" s="12">
        <f>SUMIF('ALLA ÅR'!B:B,Tabell4[[#This Row],[Namn]],'ALLA ÅR'!E:E)</f>
        <v>0</v>
      </c>
      <c r="E126" s="12">
        <f>SUMIF('ALLA ÅR'!B:B,Tabell4[[#This Row],[Namn]],'ALLA ÅR'!F:F)</f>
        <v>0</v>
      </c>
      <c r="F126" s="12">
        <f>SUMIF('ALLA ÅR'!B:B,Tabell4[[#This Row],[Namn]],'ALLA ÅR'!G:G)</f>
        <v>3</v>
      </c>
      <c r="G126" s="12">
        <f>VLOOKUP(Tabell4[[#This Row],[Namn]],'ALLA ÅR'!B:J,9,0)</f>
        <v>2015</v>
      </c>
      <c r="H126" s="12">
        <f>COUNTIF('ALLA ÅR'!B:B,Tabell4[[#This Row],[Namn]])</f>
        <v>1</v>
      </c>
      <c r="I126" s="12">
        <f>VLOOKUP(Tabell4[[#This Row],[Namn]],'ALLA ÅR'!B:L,11,0)</f>
        <v>16</v>
      </c>
      <c r="J126" s="12">
        <f>RANK(Tabell4[[#This Row],[MÅL]],F:F)</f>
        <v>49</v>
      </c>
      <c r="K126" s="12">
        <f>RANK(Tabell4[[#This Row],[VAR]],D:D)</f>
        <v>54</v>
      </c>
      <c r="L126" s="12">
        <f>RANK(Tabell4[[#This Row],[MAT]],C:C)</f>
        <v>111</v>
      </c>
      <c r="M126" s="14">
        <f>Tabell4[[#This Row],[MAT]]/Tabell4[[#This Row],[ANTAL MATCHER]]</f>
        <v>0.39130434782608697</v>
      </c>
      <c r="N126" s="12">
        <f>SUMIF('ALLA ÅR'!B:B,Tabell4[[#This Row],[Namn]],'ALLA ÅR'!H:H)</f>
        <v>23</v>
      </c>
      <c r="O126" s="12">
        <f>(Tabell4[[#This Row],[UTV]]*2)+Tabell4[[#This Row],[VAR]]</f>
        <v>0</v>
      </c>
      <c r="P126" s="12">
        <f>COUNTIF('100%'!B:B,Tabell4[[#This Row],[Namn]])</f>
        <v>0</v>
      </c>
      <c r="Q126" s="12">
        <f>_xlfn.XLOOKUP(Tabell4[[#This Row],[Namn]],Blad3!A:A,Blad3!B:B)</f>
        <v>0</v>
      </c>
      <c r="R126" s="12">
        <f>_xlfn.XLOOKUP(Tabell4[[#This Row],[Namn]],Blad3!A:A,Blad3!C:C)</f>
        <v>0</v>
      </c>
      <c r="S126" s="12">
        <f>_xlfn.XLOOKUP(Tabell4[[#This Row],[Namn]],Blad3!A:A,Blad3!D:D)</f>
        <v>0</v>
      </c>
      <c r="T126" s="12">
        <f>_xlfn.XLOOKUP(Tabell4[[#This Row],[Namn]],Blad3!A:A,Blad3!E:E)</f>
        <v>9</v>
      </c>
      <c r="U126" s="12">
        <f>RANK(Tabell4[[#This Row],[SÄS]],Tabell4[SÄS])</f>
        <v>114</v>
      </c>
      <c r="V126" s="12">
        <f>_xlfn.XLOOKUP(Tabell4[[#This Row],[Namn]],Blad3!H:H,Blad3!I:I)</f>
        <v>0</v>
      </c>
      <c r="W126" s="12">
        <f>_xlfn.XLOOKUP(Tabell4[[#This Row],[Namn]],Blad3!H:H,Blad3!J:J)</f>
        <v>0</v>
      </c>
      <c r="X126" s="12">
        <f>_xlfn.XLOOKUP(Tabell4[[#This Row],[Namn]],Blad3!H:H,Blad3!K:K)</f>
        <v>0</v>
      </c>
      <c r="Y126" s="12">
        <f>_xlfn.XLOOKUP(Tabell4[[#This Row],[Namn]],Blad3!H:H,Blad3!L:L)</f>
        <v>3</v>
      </c>
    </row>
    <row r="127" spans="1:25" x14ac:dyDescent="0.25">
      <c r="A127" s="15">
        <f>Tabell4[[#This Row],[RANK MATCHER]]</f>
        <v>111</v>
      </c>
      <c r="B127" s="11" t="s">
        <v>155</v>
      </c>
      <c r="C127" s="12">
        <f>SUMIF('ALLA ÅR'!B:B,Tabell4[[#This Row],[Namn]],'ALLA ÅR'!C:C)</f>
        <v>9</v>
      </c>
      <c r="D127" s="12">
        <f>SUMIF('ALLA ÅR'!B:B,Tabell4[[#This Row],[Namn]],'ALLA ÅR'!E:E)</f>
        <v>0</v>
      </c>
      <c r="E127" s="12">
        <f>SUMIF('ALLA ÅR'!B:B,Tabell4[[#This Row],[Namn]],'ALLA ÅR'!F:F)</f>
        <v>0</v>
      </c>
      <c r="F127" s="12">
        <f>SUMIF('ALLA ÅR'!B:B,Tabell4[[#This Row],[Namn]],'ALLA ÅR'!G:G)</f>
        <v>0</v>
      </c>
      <c r="G127" s="12">
        <f>VLOOKUP(Tabell4[[#This Row],[Namn]],'ALLA ÅR'!B:J,9,0)</f>
        <v>2015</v>
      </c>
      <c r="H127" s="12">
        <f>COUNTIF('ALLA ÅR'!B:B,Tabell4[[#This Row],[Namn]])</f>
        <v>1</v>
      </c>
      <c r="I127" s="12">
        <f>VLOOKUP(Tabell4[[#This Row],[Namn]],'ALLA ÅR'!B:L,11,0)</f>
        <v>24</v>
      </c>
      <c r="J127" s="12">
        <f>RANK(Tabell4[[#This Row],[MÅL]],F:F)</f>
        <v>107</v>
      </c>
      <c r="K127" s="12">
        <f>RANK(Tabell4[[#This Row],[VAR]],D:D)</f>
        <v>54</v>
      </c>
      <c r="L127" s="12">
        <f>RANK(Tabell4[[#This Row],[MAT]],C:C)</f>
        <v>111</v>
      </c>
      <c r="M127" s="14">
        <f>Tabell4[[#This Row],[MAT]]/Tabell4[[#This Row],[ANTAL MATCHER]]</f>
        <v>0.39130434782608697</v>
      </c>
      <c r="N127" s="12">
        <f>SUMIF('ALLA ÅR'!B:B,Tabell4[[#This Row],[Namn]],'ALLA ÅR'!H:H)</f>
        <v>23</v>
      </c>
      <c r="O127" s="12">
        <f>(Tabell4[[#This Row],[UTV]]*2)+Tabell4[[#This Row],[VAR]]</f>
        <v>0</v>
      </c>
      <c r="P127" s="12">
        <f>COUNTIF('100%'!B:B,Tabell4[[#This Row],[Namn]])</f>
        <v>0</v>
      </c>
      <c r="Q127" s="12">
        <f>_xlfn.XLOOKUP(Tabell4[[#This Row],[Namn]],Blad3!A:A,Blad3!B:B)</f>
        <v>0</v>
      </c>
      <c r="R127" s="12">
        <f>_xlfn.XLOOKUP(Tabell4[[#This Row],[Namn]],Blad3!A:A,Blad3!C:C)</f>
        <v>0</v>
      </c>
      <c r="S127" s="12">
        <f>_xlfn.XLOOKUP(Tabell4[[#This Row],[Namn]],Blad3!A:A,Blad3!D:D)</f>
        <v>0</v>
      </c>
      <c r="T127" s="12">
        <f>_xlfn.XLOOKUP(Tabell4[[#This Row],[Namn]],Blad3!A:A,Blad3!E:E)</f>
        <v>9</v>
      </c>
      <c r="U127" s="12">
        <f>RANK(Tabell4[[#This Row],[SÄS]],Tabell4[SÄS])</f>
        <v>114</v>
      </c>
      <c r="V127" s="12">
        <f>_xlfn.XLOOKUP(Tabell4[[#This Row],[Namn]],Blad3!H:H,Blad3!I:I)</f>
        <v>0</v>
      </c>
      <c r="W127" s="12">
        <f>_xlfn.XLOOKUP(Tabell4[[#This Row],[Namn]],Blad3!H:H,Blad3!J:J)</f>
        <v>0</v>
      </c>
      <c r="X127" s="12">
        <f>_xlfn.XLOOKUP(Tabell4[[#This Row],[Namn]],Blad3!H:H,Blad3!K:K)</f>
        <v>0</v>
      </c>
      <c r="Y127" s="12">
        <f>_xlfn.XLOOKUP(Tabell4[[#This Row],[Namn]],Blad3!H:H,Blad3!L:L)</f>
        <v>0</v>
      </c>
    </row>
    <row r="128" spans="1:25" x14ac:dyDescent="0.25">
      <c r="A128" s="15">
        <f>Tabell4[[#This Row],[RANK MATCHER]]</f>
        <v>111</v>
      </c>
      <c r="B128" s="11" t="s">
        <v>156</v>
      </c>
      <c r="C128" s="12">
        <f>SUMIF('ALLA ÅR'!B:B,Tabell4[[#This Row],[Namn]],'ALLA ÅR'!C:C)</f>
        <v>9</v>
      </c>
      <c r="D128" s="12">
        <f>SUMIF('ALLA ÅR'!B:B,Tabell4[[#This Row],[Namn]],'ALLA ÅR'!E:E)</f>
        <v>0</v>
      </c>
      <c r="E128" s="12">
        <f>SUMIF('ALLA ÅR'!B:B,Tabell4[[#This Row],[Namn]],'ALLA ÅR'!F:F)</f>
        <v>0</v>
      </c>
      <c r="F128" s="12">
        <f>SUMIF('ALLA ÅR'!B:B,Tabell4[[#This Row],[Namn]],'ALLA ÅR'!G:G)</f>
        <v>0</v>
      </c>
      <c r="G128" s="12">
        <f>VLOOKUP(Tabell4[[#This Row],[Namn]],'ALLA ÅR'!B:J,9,0)</f>
        <v>2015</v>
      </c>
      <c r="H128" s="12">
        <f>COUNTIF('ALLA ÅR'!B:B,Tabell4[[#This Row],[Namn]])</f>
        <v>3</v>
      </c>
      <c r="I128" s="12">
        <f>VLOOKUP(Tabell4[[#This Row],[Namn]],'ALLA ÅR'!B:L,11,0)</f>
        <v>16</v>
      </c>
      <c r="J128" s="12">
        <f>RANK(Tabell4[[#This Row],[MÅL]],F:F)</f>
        <v>107</v>
      </c>
      <c r="K128" s="12">
        <f>RANK(Tabell4[[#This Row],[VAR]],D:D)</f>
        <v>54</v>
      </c>
      <c r="L128" s="12">
        <f>RANK(Tabell4[[#This Row],[MAT]],C:C)</f>
        <v>111</v>
      </c>
      <c r="M128" s="14">
        <f>Tabell4[[#This Row],[MAT]]/Tabell4[[#This Row],[ANTAL MATCHER]]</f>
        <v>0.16981132075471697</v>
      </c>
      <c r="N128" s="12">
        <f>SUMIF('ALLA ÅR'!B:B,Tabell4[[#This Row],[Namn]],'ALLA ÅR'!H:H)</f>
        <v>53</v>
      </c>
      <c r="O128" s="12">
        <f>(Tabell4[[#This Row],[UTV]]*2)+Tabell4[[#This Row],[VAR]]</f>
        <v>0</v>
      </c>
      <c r="P128" s="12">
        <f>COUNTIF('100%'!B:B,Tabell4[[#This Row],[Namn]])</f>
        <v>0</v>
      </c>
      <c r="Q128" s="12">
        <f>_xlfn.XLOOKUP(Tabell4[[#This Row],[Namn]],Blad3!A:A,Blad3!B:B)</f>
        <v>0</v>
      </c>
      <c r="R128" s="12">
        <f>_xlfn.XLOOKUP(Tabell4[[#This Row],[Namn]],Blad3!A:A,Blad3!C:C)</f>
        <v>0</v>
      </c>
      <c r="S128" s="12">
        <f>_xlfn.XLOOKUP(Tabell4[[#This Row],[Namn]],Blad3!A:A,Blad3!D:D)</f>
        <v>0</v>
      </c>
      <c r="T128" s="12">
        <f>_xlfn.XLOOKUP(Tabell4[[#This Row],[Namn]],Blad3!A:A,Blad3!E:E)</f>
        <v>9</v>
      </c>
      <c r="U128" s="12">
        <f>RANK(Tabell4[[#This Row],[SÄS]],Tabell4[SÄS])</f>
        <v>33</v>
      </c>
      <c r="V128" s="12">
        <f>_xlfn.XLOOKUP(Tabell4[[#This Row],[Namn]],Blad3!H:H,Blad3!I:I)</f>
        <v>0</v>
      </c>
      <c r="W128" s="12">
        <f>_xlfn.XLOOKUP(Tabell4[[#This Row],[Namn]],Blad3!H:H,Blad3!J:J)</f>
        <v>0</v>
      </c>
      <c r="X128" s="12">
        <f>_xlfn.XLOOKUP(Tabell4[[#This Row],[Namn]],Blad3!H:H,Blad3!K:K)</f>
        <v>0</v>
      </c>
      <c r="Y128" s="12">
        <f>_xlfn.XLOOKUP(Tabell4[[#This Row],[Namn]],Blad3!H:H,Blad3!L:L)</f>
        <v>0</v>
      </c>
    </row>
    <row r="129" spans="1:25" x14ac:dyDescent="0.25">
      <c r="A129" s="15">
        <f>Tabell4[[#This Row],[RANK MATCHER]]</f>
        <v>111</v>
      </c>
      <c r="B129" s="11" t="s">
        <v>181</v>
      </c>
      <c r="C129" s="12">
        <f>SUMIF('ALLA ÅR'!B:B,Tabell4[[#This Row],[Namn]],'ALLA ÅR'!C:C)</f>
        <v>9</v>
      </c>
      <c r="D129" s="12">
        <f>SUMIF('ALLA ÅR'!B:B,Tabell4[[#This Row],[Namn]],'ALLA ÅR'!E:E)</f>
        <v>0</v>
      </c>
      <c r="E129" s="12">
        <f>SUMIF('ALLA ÅR'!B:B,Tabell4[[#This Row],[Namn]],'ALLA ÅR'!F:F)</f>
        <v>0</v>
      </c>
      <c r="F129" s="12">
        <f>SUMIF('ALLA ÅR'!B:B,Tabell4[[#This Row],[Namn]],'ALLA ÅR'!G:G)</f>
        <v>1</v>
      </c>
      <c r="G129" s="12">
        <f>VLOOKUP(Tabell4[[#This Row],[Namn]],'ALLA ÅR'!B:J,9,0)</f>
        <v>2012</v>
      </c>
      <c r="H129" s="12">
        <f>COUNTIF('ALLA ÅR'!B:B,Tabell4[[#This Row],[Namn]])</f>
        <v>2</v>
      </c>
      <c r="I129" s="12">
        <f>VLOOKUP(Tabell4[[#This Row],[Namn]],'ALLA ÅR'!B:L,11,0)</f>
        <v>18</v>
      </c>
      <c r="J129" s="12">
        <f>RANK(Tabell4[[#This Row],[MÅL]],F:F)</f>
        <v>67</v>
      </c>
      <c r="K129" s="12">
        <f>RANK(Tabell4[[#This Row],[VAR]],D:D)</f>
        <v>54</v>
      </c>
      <c r="L129" s="12">
        <f>RANK(Tabell4[[#This Row],[MAT]],C:C)</f>
        <v>111</v>
      </c>
      <c r="M129" s="14">
        <f>Tabell4[[#This Row],[MAT]]/Tabell4[[#This Row],[ANTAL MATCHER]]</f>
        <v>0.21428571428571427</v>
      </c>
      <c r="N129" s="12">
        <f>SUMIF('ALLA ÅR'!B:B,Tabell4[[#This Row],[Namn]],'ALLA ÅR'!H:H)</f>
        <v>42</v>
      </c>
      <c r="O129" s="12">
        <f>(Tabell4[[#This Row],[UTV]]*2)+Tabell4[[#This Row],[VAR]]</f>
        <v>0</v>
      </c>
      <c r="P129" s="12">
        <f>COUNTIF('100%'!B:B,Tabell4[[#This Row],[Namn]])</f>
        <v>0</v>
      </c>
      <c r="Q129" s="12">
        <f>_xlfn.XLOOKUP(Tabell4[[#This Row],[Namn]],Blad3!A:A,Blad3!B:B)</f>
        <v>0</v>
      </c>
      <c r="R129" s="12">
        <f>_xlfn.XLOOKUP(Tabell4[[#This Row],[Namn]],Blad3!A:A,Blad3!C:C)</f>
        <v>0</v>
      </c>
      <c r="S129" s="12">
        <f>_xlfn.XLOOKUP(Tabell4[[#This Row],[Namn]],Blad3!A:A,Blad3!D:D)</f>
        <v>2</v>
      </c>
      <c r="T129" s="12">
        <f>_xlfn.XLOOKUP(Tabell4[[#This Row],[Namn]],Blad3!A:A,Blad3!E:E)</f>
        <v>7</v>
      </c>
      <c r="U129" s="12">
        <f>RANK(Tabell4[[#This Row],[SÄS]],Tabell4[SÄS])</f>
        <v>61</v>
      </c>
      <c r="V129" s="12">
        <f>_xlfn.XLOOKUP(Tabell4[[#This Row],[Namn]],Blad3!H:H,Blad3!I:I)</f>
        <v>0</v>
      </c>
      <c r="W129" s="12">
        <f>_xlfn.XLOOKUP(Tabell4[[#This Row],[Namn]],Blad3!H:H,Blad3!J:J)</f>
        <v>0</v>
      </c>
      <c r="X129" s="12">
        <f>_xlfn.XLOOKUP(Tabell4[[#This Row],[Namn]],Blad3!H:H,Blad3!K:K)</f>
        <v>0</v>
      </c>
      <c r="Y129" s="12">
        <f>_xlfn.XLOOKUP(Tabell4[[#This Row],[Namn]],Blad3!H:H,Blad3!L:L)</f>
        <v>1</v>
      </c>
    </row>
    <row r="130" spans="1:25" x14ac:dyDescent="0.25">
      <c r="A130" s="15">
        <f>Tabell4[[#This Row],[RANK MATCHER]]</f>
        <v>116</v>
      </c>
      <c r="B130" s="11" t="s">
        <v>63</v>
      </c>
      <c r="C130" s="12">
        <f>SUMIF('ALLA ÅR'!B:B,Tabell4[[#This Row],[Namn]],'ALLA ÅR'!C:C)</f>
        <v>8</v>
      </c>
      <c r="D130" s="12">
        <f>SUMIF('ALLA ÅR'!B:B,Tabell4[[#This Row],[Namn]],'ALLA ÅR'!E:E)</f>
        <v>0</v>
      </c>
      <c r="E130" s="12">
        <f>SUMIF('ALLA ÅR'!B:B,Tabell4[[#This Row],[Namn]],'ALLA ÅR'!F:F)</f>
        <v>0</v>
      </c>
      <c r="F130" s="12">
        <f>SUMIF('ALLA ÅR'!B:B,Tabell4[[#This Row],[Namn]],'ALLA ÅR'!G:G)</f>
        <v>13</v>
      </c>
      <c r="G130" s="12">
        <f>VLOOKUP(Tabell4[[#This Row],[Namn]],'ALLA ÅR'!B:J,9,0)</f>
        <v>2024</v>
      </c>
      <c r="H130" s="12">
        <f>COUNTIF('ALLA ÅR'!B:B,Tabell4[[#This Row],[Namn]])</f>
        <v>1</v>
      </c>
      <c r="I130" s="12">
        <f>VLOOKUP(Tabell4[[#This Row],[Namn]],'ALLA ÅR'!B:L,11,0)</f>
        <v>23</v>
      </c>
      <c r="J130" s="12">
        <f>RANK(Tabell4[[#This Row],[MÅL]],F:F)</f>
        <v>16</v>
      </c>
      <c r="K130" s="12">
        <f>RANK(Tabell4[[#This Row],[VAR]],D:D)</f>
        <v>54</v>
      </c>
      <c r="L130" s="12">
        <f>RANK(Tabell4[[#This Row],[MAT]],C:C)</f>
        <v>116</v>
      </c>
      <c r="M130" s="14">
        <f>Tabell4[[#This Row],[MAT]]/Tabell4[[#This Row],[ANTAL MATCHER]]</f>
        <v>0.27586206896551724</v>
      </c>
      <c r="N130" s="12">
        <f>SUMIF('ALLA ÅR'!B:B,Tabell4[[#This Row],[Namn]],'ALLA ÅR'!H:H)</f>
        <v>29</v>
      </c>
      <c r="O130" s="12">
        <f>(Tabell4[[#This Row],[UTV]]*2)+Tabell4[[#This Row],[VAR]]</f>
        <v>0</v>
      </c>
      <c r="P130" s="12">
        <f>COUNTIF('100%'!B:B,Tabell4[[#This Row],[Namn]])</f>
        <v>0</v>
      </c>
      <c r="Q130" s="12">
        <f>_xlfn.XLOOKUP(Tabell4[[#This Row],[Namn]],Blad3!A:A,Blad3!B:B)</f>
        <v>0</v>
      </c>
      <c r="R130" s="12">
        <f>_xlfn.XLOOKUP(Tabell4[[#This Row],[Namn]],Blad3!A:A,Blad3!C:C)</f>
        <v>8</v>
      </c>
      <c r="S130" s="12">
        <f>_xlfn.XLOOKUP(Tabell4[[#This Row],[Namn]],Blad3!A:A,Blad3!D:D)</f>
        <v>0</v>
      </c>
      <c r="T130" s="12">
        <f>_xlfn.XLOOKUP(Tabell4[[#This Row],[Namn]],Blad3!A:A,Blad3!E:E)</f>
        <v>0</v>
      </c>
      <c r="U130" s="12">
        <f>RANK(Tabell4[[#This Row],[SÄS]],Tabell4[SÄS])</f>
        <v>114</v>
      </c>
      <c r="V130" s="12">
        <f>_xlfn.XLOOKUP(Tabell4[[#This Row],[Namn]],Blad3!H:H,Blad3!I:I)</f>
        <v>0</v>
      </c>
      <c r="W130" s="12">
        <f>_xlfn.XLOOKUP(Tabell4[[#This Row],[Namn]],Blad3!H:H,Blad3!J:J)</f>
        <v>13</v>
      </c>
      <c r="X130" s="12">
        <f>_xlfn.XLOOKUP(Tabell4[[#This Row],[Namn]],Blad3!H:H,Blad3!K:K)</f>
        <v>0</v>
      </c>
      <c r="Y130" s="12">
        <f>_xlfn.XLOOKUP(Tabell4[[#This Row],[Namn]],Blad3!H:H,Blad3!L:L)</f>
        <v>0</v>
      </c>
    </row>
    <row r="131" spans="1:25" x14ac:dyDescent="0.25">
      <c r="A131" s="15">
        <f>Tabell4[[#This Row],[RANK MATCHER]]</f>
        <v>116</v>
      </c>
      <c r="B131" s="11" t="s">
        <v>104</v>
      </c>
      <c r="C131" s="12">
        <f>SUMIF('ALLA ÅR'!B:B,Tabell4[[#This Row],[Namn]],'ALLA ÅR'!C:C)</f>
        <v>8</v>
      </c>
      <c r="D131" s="12">
        <f>SUMIF('ALLA ÅR'!B:B,Tabell4[[#This Row],[Namn]],'ALLA ÅR'!E:E)</f>
        <v>0</v>
      </c>
      <c r="E131" s="12">
        <f>SUMIF('ALLA ÅR'!B:B,Tabell4[[#This Row],[Namn]],'ALLA ÅR'!F:F)</f>
        <v>0</v>
      </c>
      <c r="F131" s="12">
        <f>SUMIF('ALLA ÅR'!B:B,Tabell4[[#This Row],[Namn]],'ALLA ÅR'!G:G)</f>
        <v>0</v>
      </c>
      <c r="G131" s="12">
        <f>VLOOKUP(Tabell4[[#This Row],[Namn]],'ALLA ÅR'!B:J,9,0)</f>
        <v>2020</v>
      </c>
      <c r="H131" s="12">
        <f>COUNTIF('ALLA ÅR'!B:B,Tabell4[[#This Row],[Namn]])</f>
        <v>3</v>
      </c>
      <c r="I131" s="12">
        <f>VLOOKUP(Tabell4[[#This Row],[Namn]],'ALLA ÅR'!B:L,11,0)</f>
        <v>19</v>
      </c>
      <c r="J131" s="12">
        <f>RANK(Tabell4[[#This Row],[MÅL]],F:F)</f>
        <v>107</v>
      </c>
      <c r="K131" s="12">
        <f>RANK(Tabell4[[#This Row],[VAR]],D:D)</f>
        <v>54</v>
      </c>
      <c r="L131" s="12">
        <f>RANK(Tabell4[[#This Row],[MAT]],C:C)</f>
        <v>116</v>
      </c>
      <c r="M131" s="14">
        <f>Tabell4[[#This Row],[MAT]]/Tabell4[[#This Row],[ANTAL MATCHER]]</f>
        <v>0.16326530612244897</v>
      </c>
      <c r="N131" s="12">
        <f>SUMIF('ALLA ÅR'!B:B,Tabell4[[#This Row],[Namn]],'ALLA ÅR'!H:H)</f>
        <v>49</v>
      </c>
      <c r="O131" s="12">
        <f>(Tabell4[[#This Row],[UTV]]*2)+Tabell4[[#This Row],[VAR]]</f>
        <v>0</v>
      </c>
      <c r="P131" s="12">
        <f>COUNTIF('100%'!B:B,Tabell4[[#This Row],[Namn]])</f>
        <v>0</v>
      </c>
      <c r="Q131" s="12">
        <f>_xlfn.XLOOKUP(Tabell4[[#This Row],[Namn]],Blad3!A:A,Blad3!B:B)</f>
        <v>1</v>
      </c>
      <c r="R131" s="12">
        <f>_xlfn.XLOOKUP(Tabell4[[#This Row],[Namn]],Blad3!A:A,Blad3!C:C)</f>
        <v>0</v>
      </c>
      <c r="S131" s="12">
        <f>_xlfn.XLOOKUP(Tabell4[[#This Row],[Namn]],Blad3!A:A,Blad3!D:D)</f>
        <v>0</v>
      </c>
      <c r="T131" s="12">
        <f>_xlfn.XLOOKUP(Tabell4[[#This Row],[Namn]],Blad3!A:A,Blad3!E:E)</f>
        <v>7</v>
      </c>
      <c r="U131" s="12">
        <f>RANK(Tabell4[[#This Row],[SÄS]],Tabell4[SÄS])</f>
        <v>33</v>
      </c>
      <c r="V131" s="12">
        <f>_xlfn.XLOOKUP(Tabell4[[#This Row],[Namn]],Blad3!H:H,Blad3!I:I)</f>
        <v>0</v>
      </c>
      <c r="W131" s="12">
        <f>_xlfn.XLOOKUP(Tabell4[[#This Row],[Namn]],Blad3!H:H,Blad3!J:J)</f>
        <v>0</v>
      </c>
      <c r="X131" s="12">
        <f>_xlfn.XLOOKUP(Tabell4[[#This Row],[Namn]],Blad3!H:H,Blad3!K:K)</f>
        <v>0</v>
      </c>
      <c r="Y131" s="12">
        <f>_xlfn.XLOOKUP(Tabell4[[#This Row],[Namn]],Blad3!H:H,Blad3!L:L)</f>
        <v>0</v>
      </c>
    </row>
    <row r="132" spans="1:25" x14ac:dyDescent="0.25">
      <c r="A132" s="15">
        <f>Tabell4[[#This Row],[RANK MATCHER]]</f>
        <v>116</v>
      </c>
      <c r="B132" s="11" t="s">
        <v>114</v>
      </c>
      <c r="C132" s="12">
        <f>SUMIF('ALLA ÅR'!B:B,Tabell4[[#This Row],[Namn]],'ALLA ÅR'!C:C)</f>
        <v>8</v>
      </c>
      <c r="D132" s="12">
        <f>SUMIF('ALLA ÅR'!B:B,Tabell4[[#This Row],[Namn]],'ALLA ÅR'!E:E)</f>
        <v>1</v>
      </c>
      <c r="E132" s="12">
        <f>SUMIF('ALLA ÅR'!B:B,Tabell4[[#This Row],[Namn]],'ALLA ÅR'!F:F)</f>
        <v>0</v>
      </c>
      <c r="F132" s="12">
        <f>SUMIF('ALLA ÅR'!B:B,Tabell4[[#This Row],[Namn]],'ALLA ÅR'!G:G)</f>
        <v>1</v>
      </c>
      <c r="G132" s="12">
        <f>VLOOKUP(Tabell4[[#This Row],[Namn]],'ALLA ÅR'!B:J,9,0)</f>
        <v>2018</v>
      </c>
      <c r="H132" s="12">
        <f>COUNTIF('ALLA ÅR'!B:B,Tabell4[[#This Row],[Namn]])</f>
        <v>1</v>
      </c>
      <c r="I132" s="12">
        <f>VLOOKUP(Tabell4[[#This Row],[Namn]],'ALLA ÅR'!B:L,11,0)</f>
        <v>28</v>
      </c>
      <c r="J132" s="12">
        <f>RANK(Tabell4[[#This Row],[MÅL]],F:F)</f>
        <v>67</v>
      </c>
      <c r="K132" s="12">
        <f>RANK(Tabell4[[#This Row],[VAR]],D:D)</f>
        <v>27</v>
      </c>
      <c r="L132" s="12">
        <f>RANK(Tabell4[[#This Row],[MAT]],C:C)</f>
        <v>116</v>
      </c>
      <c r="M132" s="14">
        <f>Tabell4[[#This Row],[MAT]]/Tabell4[[#This Row],[ANTAL MATCHER]]</f>
        <v>0.44444444444444442</v>
      </c>
      <c r="N132" s="12">
        <f>SUMIF('ALLA ÅR'!B:B,Tabell4[[#This Row],[Namn]],'ALLA ÅR'!H:H)</f>
        <v>18</v>
      </c>
      <c r="O132" s="12">
        <f>(Tabell4[[#This Row],[UTV]]*2)+Tabell4[[#This Row],[VAR]]</f>
        <v>1</v>
      </c>
      <c r="P132" s="12">
        <f>COUNTIF('100%'!B:B,Tabell4[[#This Row],[Namn]])</f>
        <v>0</v>
      </c>
      <c r="Q132" s="12">
        <f>_xlfn.XLOOKUP(Tabell4[[#This Row],[Namn]],Blad3!A:A,Blad3!B:B)</f>
        <v>0</v>
      </c>
      <c r="R132" s="12">
        <f>_xlfn.XLOOKUP(Tabell4[[#This Row],[Namn]],Blad3!A:A,Blad3!C:C)</f>
        <v>8</v>
      </c>
      <c r="S132" s="12">
        <f>_xlfn.XLOOKUP(Tabell4[[#This Row],[Namn]],Blad3!A:A,Blad3!D:D)</f>
        <v>0</v>
      </c>
      <c r="T132" s="12">
        <f>_xlfn.XLOOKUP(Tabell4[[#This Row],[Namn]],Blad3!A:A,Blad3!E:E)</f>
        <v>0</v>
      </c>
      <c r="U132" s="12">
        <f>RANK(Tabell4[[#This Row],[SÄS]],Tabell4[SÄS])</f>
        <v>114</v>
      </c>
      <c r="V132" s="12">
        <f>_xlfn.XLOOKUP(Tabell4[[#This Row],[Namn]],Blad3!H:H,Blad3!I:I)</f>
        <v>0</v>
      </c>
      <c r="W132" s="12">
        <f>_xlfn.XLOOKUP(Tabell4[[#This Row],[Namn]],Blad3!H:H,Blad3!J:J)</f>
        <v>1</v>
      </c>
      <c r="X132" s="12">
        <f>_xlfn.XLOOKUP(Tabell4[[#This Row],[Namn]],Blad3!H:H,Blad3!K:K)</f>
        <v>0</v>
      </c>
      <c r="Y132" s="12">
        <f>_xlfn.XLOOKUP(Tabell4[[#This Row],[Namn]],Blad3!H:H,Blad3!L:L)</f>
        <v>0</v>
      </c>
    </row>
    <row r="133" spans="1:25" x14ac:dyDescent="0.25">
      <c r="A133" s="15">
        <f>Tabell4[[#This Row],[RANK MATCHER]]</f>
        <v>116</v>
      </c>
      <c r="B133" s="11" t="s">
        <v>197</v>
      </c>
      <c r="C133" s="12">
        <f>SUMIF('ALLA ÅR'!B:B,Tabell4[[#This Row],[Namn]],'ALLA ÅR'!C:C)</f>
        <v>8</v>
      </c>
      <c r="D133" s="12">
        <f>SUMIF('ALLA ÅR'!B:B,Tabell4[[#This Row],[Namn]],'ALLA ÅR'!E:E)</f>
        <v>0</v>
      </c>
      <c r="E133" s="12">
        <f>SUMIF('ALLA ÅR'!B:B,Tabell4[[#This Row],[Namn]],'ALLA ÅR'!F:F)</f>
        <v>0</v>
      </c>
      <c r="F133" s="12">
        <f>SUMIF('ALLA ÅR'!B:B,Tabell4[[#This Row],[Namn]],'ALLA ÅR'!G:G)</f>
        <v>0</v>
      </c>
      <c r="G133" s="12">
        <f>VLOOKUP(Tabell4[[#This Row],[Namn]],'ALLA ÅR'!B:J,9,0)</f>
        <v>2011</v>
      </c>
      <c r="H133" s="12">
        <f>COUNTIF('ALLA ÅR'!B:B,Tabell4[[#This Row],[Namn]])</f>
        <v>2</v>
      </c>
      <c r="I133" s="12">
        <f>VLOOKUP(Tabell4[[#This Row],[Namn]],'ALLA ÅR'!B:L,11,0)</f>
        <v>19</v>
      </c>
      <c r="J133" s="12">
        <f>RANK(Tabell4[[#This Row],[MÅL]],F:F)</f>
        <v>107</v>
      </c>
      <c r="K133" s="12">
        <f>RANK(Tabell4[[#This Row],[VAR]],D:D)</f>
        <v>54</v>
      </c>
      <c r="L133" s="12">
        <f>RANK(Tabell4[[#This Row],[MAT]],C:C)</f>
        <v>116</v>
      </c>
      <c r="M133" s="14">
        <f>Tabell4[[#This Row],[MAT]]/Tabell4[[#This Row],[ANTAL MATCHER]]</f>
        <v>0.17391304347826086</v>
      </c>
      <c r="N133" s="12">
        <f>SUMIF('ALLA ÅR'!B:B,Tabell4[[#This Row],[Namn]],'ALLA ÅR'!H:H)</f>
        <v>46</v>
      </c>
      <c r="O133" s="12">
        <f>(Tabell4[[#This Row],[UTV]]*2)+Tabell4[[#This Row],[VAR]]</f>
        <v>0</v>
      </c>
      <c r="P133" s="12">
        <f>COUNTIF('100%'!B:B,Tabell4[[#This Row],[Namn]])</f>
        <v>0</v>
      </c>
      <c r="Q133" s="12">
        <f>_xlfn.XLOOKUP(Tabell4[[#This Row],[Namn]],Blad3!A:A,Blad3!B:B)</f>
        <v>0</v>
      </c>
      <c r="R133" s="12">
        <f>_xlfn.XLOOKUP(Tabell4[[#This Row],[Namn]],Blad3!A:A,Blad3!C:C)</f>
        <v>0</v>
      </c>
      <c r="S133" s="12">
        <f>_xlfn.XLOOKUP(Tabell4[[#This Row],[Namn]],Blad3!A:A,Blad3!D:D)</f>
        <v>8</v>
      </c>
      <c r="T133" s="12">
        <f>_xlfn.XLOOKUP(Tabell4[[#This Row],[Namn]],Blad3!A:A,Blad3!E:E)</f>
        <v>0</v>
      </c>
      <c r="U133" s="12">
        <f>RANK(Tabell4[[#This Row],[SÄS]],Tabell4[SÄS])</f>
        <v>61</v>
      </c>
      <c r="V133" s="12">
        <f>_xlfn.XLOOKUP(Tabell4[[#This Row],[Namn]],Blad3!H:H,Blad3!I:I)</f>
        <v>0</v>
      </c>
      <c r="W133" s="12">
        <f>_xlfn.XLOOKUP(Tabell4[[#This Row],[Namn]],Blad3!H:H,Blad3!J:J)</f>
        <v>0</v>
      </c>
      <c r="X133" s="12">
        <f>_xlfn.XLOOKUP(Tabell4[[#This Row],[Namn]],Blad3!H:H,Blad3!K:K)</f>
        <v>0</v>
      </c>
      <c r="Y133" s="12">
        <f>_xlfn.XLOOKUP(Tabell4[[#This Row],[Namn]],Blad3!H:H,Blad3!L:L)</f>
        <v>0</v>
      </c>
    </row>
    <row r="134" spans="1:25" x14ac:dyDescent="0.25">
      <c r="A134" s="15">
        <f>Tabell4[[#This Row],[RANK MATCHER]]</f>
        <v>116</v>
      </c>
      <c r="B134" s="11" t="s">
        <v>203</v>
      </c>
      <c r="C134" s="12">
        <f>SUMIF('ALLA ÅR'!B:B,Tabell4[[#This Row],[Namn]],'ALLA ÅR'!C:C)</f>
        <v>8</v>
      </c>
      <c r="D134" s="12">
        <f>SUMIF('ALLA ÅR'!B:B,Tabell4[[#This Row],[Namn]],'ALLA ÅR'!E:E)</f>
        <v>1</v>
      </c>
      <c r="E134" s="12">
        <f>SUMIF('ALLA ÅR'!B:B,Tabell4[[#This Row],[Namn]],'ALLA ÅR'!F:F)</f>
        <v>0</v>
      </c>
      <c r="F134" s="12">
        <f>SUMIF('ALLA ÅR'!B:B,Tabell4[[#This Row],[Namn]],'ALLA ÅR'!G:G)</f>
        <v>0</v>
      </c>
      <c r="G134" s="12">
        <f>VLOOKUP(Tabell4[[#This Row],[Namn]],'ALLA ÅR'!B:J,9,0)</f>
        <v>2010</v>
      </c>
      <c r="H134" s="12">
        <f>COUNTIF('ALLA ÅR'!B:B,Tabell4[[#This Row],[Namn]])</f>
        <v>1</v>
      </c>
      <c r="I134" s="12">
        <f>VLOOKUP(Tabell4[[#This Row],[Namn]],'ALLA ÅR'!B:L,11,0)</f>
        <v>19</v>
      </c>
      <c r="J134" s="12">
        <f>RANK(Tabell4[[#This Row],[MÅL]],F:F)</f>
        <v>107</v>
      </c>
      <c r="K134" s="12">
        <f>RANK(Tabell4[[#This Row],[VAR]],D:D)</f>
        <v>27</v>
      </c>
      <c r="L134" s="12">
        <f>RANK(Tabell4[[#This Row],[MAT]],C:C)</f>
        <v>116</v>
      </c>
      <c r="M134" s="14">
        <f>Tabell4[[#This Row],[MAT]]/Tabell4[[#This Row],[ANTAL MATCHER]]</f>
        <v>0.36363636363636365</v>
      </c>
      <c r="N134" s="12">
        <f>SUMIF('ALLA ÅR'!B:B,Tabell4[[#This Row],[Namn]],'ALLA ÅR'!H:H)</f>
        <v>22</v>
      </c>
      <c r="O134" s="12">
        <f>(Tabell4[[#This Row],[UTV]]*2)+Tabell4[[#This Row],[VAR]]</f>
        <v>1</v>
      </c>
      <c r="P134" s="12">
        <f>COUNTIF('100%'!B:B,Tabell4[[#This Row],[Namn]])</f>
        <v>0</v>
      </c>
      <c r="Q134" s="12">
        <f>_xlfn.XLOOKUP(Tabell4[[#This Row],[Namn]],Blad3!A:A,Blad3!B:B)</f>
        <v>0</v>
      </c>
      <c r="R134" s="12">
        <f>_xlfn.XLOOKUP(Tabell4[[#This Row],[Namn]],Blad3!A:A,Blad3!C:C)</f>
        <v>0</v>
      </c>
      <c r="S134" s="12">
        <f>_xlfn.XLOOKUP(Tabell4[[#This Row],[Namn]],Blad3!A:A,Blad3!D:D)</f>
        <v>8</v>
      </c>
      <c r="T134" s="12">
        <f>_xlfn.XLOOKUP(Tabell4[[#This Row],[Namn]],Blad3!A:A,Blad3!E:E)</f>
        <v>0</v>
      </c>
      <c r="U134" s="12">
        <f>RANK(Tabell4[[#This Row],[SÄS]],Tabell4[SÄS])</f>
        <v>114</v>
      </c>
      <c r="V134" s="12">
        <f>_xlfn.XLOOKUP(Tabell4[[#This Row],[Namn]],Blad3!H:H,Blad3!I:I)</f>
        <v>0</v>
      </c>
      <c r="W134" s="12">
        <f>_xlfn.XLOOKUP(Tabell4[[#This Row],[Namn]],Blad3!H:H,Blad3!J:J)</f>
        <v>0</v>
      </c>
      <c r="X134" s="12">
        <f>_xlfn.XLOOKUP(Tabell4[[#This Row],[Namn]],Blad3!H:H,Blad3!K:K)</f>
        <v>0</v>
      </c>
      <c r="Y134" s="12">
        <f>_xlfn.XLOOKUP(Tabell4[[#This Row],[Namn]],Blad3!H:H,Blad3!L:L)</f>
        <v>0</v>
      </c>
    </row>
    <row r="135" spans="1:25" x14ac:dyDescent="0.25">
      <c r="A135" s="15">
        <f>Tabell4[[#This Row],[RANK MATCHER]]</f>
        <v>121</v>
      </c>
      <c r="B135" s="11" t="s">
        <v>37</v>
      </c>
      <c r="C135" s="12">
        <f>SUMIF('ALLA ÅR'!B:B,Tabell4[[#This Row],[Namn]],'ALLA ÅR'!C:C)</f>
        <v>7</v>
      </c>
      <c r="D135" s="12">
        <f>SUMIF('ALLA ÅR'!B:B,Tabell4[[#This Row],[Namn]],'ALLA ÅR'!E:E)</f>
        <v>0</v>
      </c>
      <c r="E135" s="12">
        <f>SUMIF('ALLA ÅR'!B:B,Tabell4[[#This Row],[Namn]],'ALLA ÅR'!F:F)</f>
        <v>0</v>
      </c>
      <c r="F135" s="12">
        <f>SUMIF('ALLA ÅR'!B:B,Tabell4[[#This Row],[Namn]],'ALLA ÅR'!G:G)</f>
        <v>0</v>
      </c>
      <c r="G135" s="12">
        <f>VLOOKUP(Tabell4[[#This Row],[Namn]],'ALLA ÅR'!B:J,9,0)</f>
        <v>2026</v>
      </c>
      <c r="H135" s="12">
        <f>COUNTIF('ALLA ÅR'!B:B,Tabell4[[#This Row],[Namn]])</f>
        <v>3</v>
      </c>
      <c r="I135" s="12">
        <f>VLOOKUP(Tabell4[[#This Row],[Namn]],'ALLA ÅR'!B:L,11,0)</f>
        <v>19</v>
      </c>
      <c r="J135" s="12">
        <f>RANK(Tabell4[[#This Row],[MÅL]],F:F)</f>
        <v>107</v>
      </c>
      <c r="K135" s="12">
        <f>RANK(Tabell4[[#This Row],[VAR]],D:D)</f>
        <v>54</v>
      </c>
      <c r="L135" s="12">
        <f>RANK(Tabell4[[#This Row],[MAT]],C:C)</f>
        <v>121</v>
      </c>
      <c r="M135" s="14">
        <f>Tabell4[[#This Row],[MAT]]/Tabell4[[#This Row],[ANTAL MATCHER]]</f>
        <v>0.1891891891891892</v>
      </c>
      <c r="N135" s="12">
        <f>SUMIF('ALLA ÅR'!B:B,Tabell4[[#This Row],[Namn]],'ALLA ÅR'!H:H)</f>
        <v>37</v>
      </c>
      <c r="O135" s="12">
        <f>(Tabell4[[#This Row],[UTV]]*2)+Tabell4[[#This Row],[VAR]]</f>
        <v>0</v>
      </c>
      <c r="P135" s="12">
        <f>COUNTIF('100%'!B:B,Tabell4[[#This Row],[Namn]])</f>
        <v>0</v>
      </c>
      <c r="Q135" s="12">
        <f>_xlfn.XLOOKUP(Tabell4[[#This Row],[Namn]],Blad3!A:A,Blad3!B:B)</f>
        <v>0</v>
      </c>
      <c r="R135" s="12">
        <f>_xlfn.XLOOKUP(Tabell4[[#This Row],[Namn]],Blad3!A:A,Blad3!C:C)</f>
        <v>5</v>
      </c>
      <c r="S135" s="12">
        <f>_xlfn.XLOOKUP(Tabell4[[#This Row],[Namn]],Blad3!A:A,Blad3!D:D)</f>
        <v>0</v>
      </c>
      <c r="T135" s="12">
        <f>_xlfn.XLOOKUP(Tabell4[[#This Row],[Namn]],Blad3!A:A,Blad3!E:E)</f>
        <v>2</v>
      </c>
      <c r="U135" s="12">
        <f>RANK(Tabell4[[#This Row],[SÄS]],Tabell4[SÄS])</f>
        <v>33</v>
      </c>
      <c r="V135" s="12">
        <f>_xlfn.XLOOKUP(Tabell4[[#This Row],[Namn]],Blad3!H:H,Blad3!I:I)</f>
        <v>0</v>
      </c>
      <c r="W135" s="12">
        <f>_xlfn.XLOOKUP(Tabell4[[#This Row],[Namn]],Blad3!H:H,Blad3!J:J)</f>
        <v>0</v>
      </c>
      <c r="X135" s="12">
        <f>_xlfn.XLOOKUP(Tabell4[[#This Row],[Namn]],Blad3!H:H,Blad3!K:K)</f>
        <v>0</v>
      </c>
      <c r="Y135" s="12">
        <f>_xlfn.XLOOKUP(Tabell4[[#This Row],[Namn]],Blad3!H:H,Blad3!L:L)</f>
        <v>0</v>
      </c>
    </row>
    <row r="136" spans="1:25" x14ac:dyDescent="0.25">
      <c r="A136" s="15">
        <f>Tabell4[[#This Row],[RANK MATCHER]]</f>
        <v>121</v>
      </c>
      <c r="B136" s="11" t="s">
        <v>46</v>
      </c>
      <c r="C136" s="12">
        <f>SUMIF('ALLA ÅR'!B:B,Tabell4[[#This Row],[Namn]],'ALLA ÅR'!C:C)</f>
        <v>7</v>
      </c>
      <c r="D136" s="12">
        <f>SUMIF('ALLA ÅR'!B:B,Tabell4[[#This Row],[Namn]],'ALLA ÅR'!E:E)</f>
        <v>0</v>
      </c>
      <c r="E136" s="12">
        <f>SUMIF('ALLA ÅR'!B:B,Tabell4[[#This Row],[Namn]],'ALLA ÅR'!F:F)</f>
        <v>0</v>
      </c>
      <c r="F136" s="12">
        <f>SUMIF('ALLA ÅR'!B:B,Tabell4[[#This Row],[Namn]],'ALLA ÅR'!G:G)</f>
        <v>3</v>
      </c>
      <c r="G136" s="12">
        <f>VLOOKUP(Tabell4[[#This Row],[Namn]],'ALLA ÅR'!B:J,9,0)</f>
        <v>2025</v>
      </c>
      <c r="H136" s="12">
        <f>COUNTIF('ALLA ÅR'!B:B,Tabell4[[#This Row],[Namn]])</f>
        <v>2</v>
      </c>
      <c r="I136" s="12">
        <f>VLOOKUP(Tabell4[[#This Row],[Namn]],'ALLA ÅR'!B:L,11,0)</f>
        <v>22</v>
      </c>
      <c r="J136" s="12">
        <f>RANK(Tabell4[[#This Row],[MÅL]],F:F)</f>
        <v>49</v>
      </c>
      <c r="K136" s="12">
        <f>RANK(Tabell4[[#This Row],[VAR]],D:D)</f>
        <v>54</v>
      </c>
      <c r="L136" s="12">
        <f>RANK(Tabell4[[#This Row],[MAT]],C:C)</f>
        <v>121</v>
      </c>
      <c r="M136" s="14">
        <f>Tabell4[[#This Row],[MAT]]/Tabell4[[#This Row],[ANTAL MATCHER]]</f>
        <v>0.21212121212121213</v>
      </c>
      <c r="N136" s="12">
        <f>SUMIF('ALLA ÅR'!B:B,Tabell4[[#This Row],[Namn]],'ALLA ÅR'!H:H)</f>
        <v>33</v>
      </c>
      <c r="O136" s="12">
        <f>(Tabell4[[#This Row],[UTV]]*2)+Tabell4[[#This Row],[VAR]]</f>
        <v>0</v>
      </c>
      <c r="P136" s="12">
        <f>COUNTIF('100%'!B:B,Tabell4[[#This Row],[Namn]])</f>
        <v>0</v>
      </c>
      <c r="Q136" s="12">
        <f>_xlfn.XLOOKUP(Tabell4[[#This Row],[Namn]],Blad3!A:A,Blad3!B:B)</f>
        <v>0</v>
      </c>
      <c r="R136" s="12">
        <f>_xlfn.XLOOKUP(Tabell4[[#This Row],[Namn]],Blad3!A:A,Blad3!C:C)</f>
        <v>7</v>
      </c>
      <c r="S136" s="12">
        <f>_xlfn.XLOOKUP(Tabell4[[#This Row],[Namn]],Blad3!A:A,Blad3!D:D)</f>
        <v>0</v>
      </c>
      <c r="T136" s="12">
        <f>_xlfn.XLOOKUP(Tabell4[[#This Row],[Namn]],Blad3!A:A,Blad3!E:E)</f>
        <v>0</v>
      </c>
      <c r="U136" s="12">
        <f>RANK(Tabell4[[#This Row],[SÄS]],Tabell4[SÄS])</f>
        <v>61</v>
      </c>
      <c r="V136" s="12">
        <f>_xlfn.XLOOKUP(Tabell4[[#This Row],[Namn]],Blad3!H:H,Blad3!I:I)</f>
        <v>0</v>
      </c>
      <c r="W136" s="12">
        <f>_xlfn.XLOOKUP(Tabell4[[#This Row],[Namn]],Blad3!H:H,Blad3!J:J)</f>
        <v>3</v>
      </c>
      <c r="X136" s="12">
        <f>_xlfn.XLOOKUP(Tabell4[[#This Row],[Namn]],Blad3!H:H,Blad3!K:K)</f>
        <v>0</v>
      </c>
      <c r="Y136" s="12">
        <f>_xlfn.XLOOKUP(Tabell4[[#This Row],[Namn]],Blad3!H:H,Blad3!L:L)</f>
        <v>0</v>
      </c>
    </row>
    <row r="137" spans="1:25" x14ac:dyDescent="0.25">
      <c r="A137" s="15">
        <f>Tabell4[[#This Row],[RANK MATCHER]]</f>
        <v>121</v>
      </c>
      <c r="B137" s="11" t="s">
        <v>53</v>
      </c>
      <c r="C137" s="12">
        <f>SUMIF('ALLA ÅR'!B:B,Tabell4[[#This Row],[Namn]],'ALLA ÅR'!C:C)</f>
        <v>7</v>
      </c>
      <c r="D137" s="12">
        <f>SUMIF('ALLA ÅR'!B:B,Tabell4[[#This Row],[Namn]],'ALLA ÅR'!E:E)</f>
        <v>0</v>
      </c>
      <c r="E137" s="12">
        <f>SUMIF('ALLA ÅR'!B:B,Tabell4[[#This Row],[Namn]],'ALLA ÅR'!F:F)</f>
        <v>0</v>
      </c>
      <c r="F137" s="12">
        <f>SUMIF('ALLA ÅR'!B:B,Tabell4[[#This Row],[Namn]],'ALLA ÅR'!G:G)</f>
        <v>0</v>
      </c>
      <c r="G137" s="12">
        <f>VLOOKUP(Tabell4[[#This Row],[Namn]],'ALLA ÅR'!B:J,9,0)</f>
        <v>2025</v>
      </c>
      <c r="H137" s="12">
        <f>COUNTIF('ALLA ÅR'!B:B,Tabell4[[#This Row],[Namn]])</f>
        <v>2</v>
      </c>
      <c r="I137" s="12">
        <f>VLOOKUP(Tabell4[[#This Row],[Namn]],'ALLA ÅR'!B:L,11,0)</f>
        <v>17</v>
      </c>
      <c r="J137" s="12">
        <f>RANK(Tabell4[[#This Row],[MÅL]],F:F)</f>
        <v>107</v>
      </c>
      <c r="K137" s="12">
        <f>RANK(Tabell4[[#This Row],[VAR]],D:D)</f>
        <v>54</v>
      </c>
      <c r="L137" s="12">
        <f>RANK(Tabell4[[#This Row],[MAT]],C:C)</f>
        <v>121</v>
      </c>
      <c r="M137" s="14">
        <f>Tabell4[[#This Row],[MAT]]/Tabell4[[#This Row],[ANTAL MATCHER]]</f>
        <v>0.21212121212121213</v>
      </c>
      <c r="N137" s="12">
        <f>SUMIF('ALLA ÅR'!B:B,Tabell4[[#This Row],[Namn]],'ALLA ÅR'!H:H)</f>
        <v>33</v>
      </c>
      <c r="O137" s="12">
        <f>(Tabell4[[#This Row],[UTV]]*2)+Tabell4[[#This Row],[VAR]]</f>
        <v>0</v>
      </c>
      <c r="P137" s="12">
        <f>COUNTIF('100%'!B:B,Tabell4[[#This Row],[Namn]])</f>
        <v>0</v>
      </c>
      <c r="Q137" s="12">
        <f>_xlfn.XLOOKUP(Tabell4[[#This Row],[Namn]],Blad3!A:A,Blad3!B:B)</f>
        <v>0</v>
      </c>
      <c r="R137" s="12">
        <f>_xlfn.XLOOKUP(Tabell4[[#This Row],[Namn]],Blad3!A:A,Blad3!C:C)</f>
        <v>7</v>
      </c>
      <c r="S137" s="12">
        <f>_xlfn.XLOOKUP(Tabell4[[#This Row],[Namn]],Blad3!A:A,Blad3!D:D)</f>
        <v>0</v>
      </c>
      <c r="T137" s="12">
        <f>_xlfn.XLOOKUP(Tabell4[[#This Row],[Namn]],Blad3!A:A,Blad3!E:E)</f>
        <v>0</v>
      </c>
      <c r="U137" s="12">
        <f>RANK(Tabell4[[#This Row],[SÄS]],Tabell4[SÄS])</f>
        <v>61</v>
      </c>
      <c r="V137" s="12">
        <f>_xlfn.XLOOKUP(Tabell4[[#This Row],[Namn]],Blad3!H:H,Blad3!I:I)</f>
        <v>0</v>
      </c>
      <c r="W137" s="12">
        <f>_xlfn.XLOOKUP(Tabell4[[#This Row],[Namn]],Blad3!H:H,Blad3!J:J)</f>
        <v>0</v>
      </c>
      <c r="X137" s="12">
        <f>_xlfn.XLOOKUP(Tabell4[[#This Row],[Namn]],Blad3!H:H,Blad3!K:K)</f>
        <v>0</v>
      </c>
      <c r="Y137" s="12">
        <f>_xlfn.XLOOKUP(Tabell4[[#This Row],[Namn]],Blad3!H:H,Blad3!L:L)</f>
        <v>0</v>
      </c>
    </row>
    <row r="138" spans="1:25" x14ac:dyDescent="0.25">
      <c r="A138" s="15">
        <f>Tabell4[[#This Row],[RANK MATCHER]]</f>
        <v>121</v>
      </c>
      <c r="B138" s="11" t="s">
        <v>77</v>
      </c>
      <c r="C138" s="12">
        <f>SUMIF('ALLA ÅR'!B:B,Tabell4[[#This Row],[Namn]],'ALLA ÅR'!C:C)</f>
        <v>7</v>
      </c>
      <c r="D138" s="12">
        <f>SUMIF('ALLA ÅR'!B:B,Tabell4[[#This Row],[Namn]],'ALLA ÅR'!E:E)</f>
        <v>0</v>
      </c>
      <c r="E138" s="12">
        <f>SUMIF('ALLA ÅR'!B:B,Tabell4[[#This Row],[Namn]],'ALLA ÅR'!F:F)</f>
        <v>0</v>
      </c>
      <c r="F138" s="12">
        <f>SUMIF('ALLA ÅR'!B:B,Tabell4[[#This Row],[Namn]],'ALLA ÅR'!G:G)</f>
        <v>0</v>
      </c>
      <c r="G138" s="12">
        <f>VLOOKUP(Tabell4[[#This Row],[Namn]],'ALLA ÅR'!B:J,9,0)</f>
        <v>2023</v>
      </c>
      <c r="H138" s="12">
        <f>COUNTIF('ALLA ÅR'!B:B,Tabell4[[#This Row],[Namn]])</f>
        <v>1</v>
      </c>
      <c r="I138" s="12">
        <f>VLOOKUP(Tabell4[[#This Row],[Namn]],'ALLA ÅR'!B:L,11,0)</f>
        <v>29</v>
      </c>
      <c r="J138" s="12">
        <f>RANK(Tabell4[[#This Row],[MÅL]],F:F)</f>
        <v>107</v>
      </c>
      <c r="K138" s="12">
        <f>RANK(Tabell4[[#This Row],[VAR]],D:D)</f>
        <v>54</v>
      </c>
      <c r="L138" s="12">
        <f>RANK(Tabell4[[#This Row],[MAT]],C:C)</f>
        <v>121</v>
      </c>
      <c r="M138" s="14">
        <f>Tabell4[[#This Row],[MAT]]/Tabell4[[#This Row],[ANTAL MATCHER]]</f>
        <v>0.31818181818181818</v>
      </c>
      <c r="N138" s="12">
        <f>SUMIF('ALLA ÅR'!B:B,Tabell4[[#This Row],[Namn]],'ALLA ÅR'!H:H)</f>
        <v>22</v>
      </c>
      <c r="O138" s="12">
        <f>(Tabell4[[#This Row],[UTV]]*2)+Tabell4[[#This Row],[VAR]]</f>
        <v>0</v>
      </c>
      <c r="P138" s="12">
        <f>COUNTIF('100%'!B:B,Tabell4[[#This Row],[Namn]])</f>
        <v>0</v>
      </c>
      <c r="Q138" s="12">
        <f>_xlfn.XLOOKUP(Tabell4[[#This Row],[Namn]],Blad3!A:A,Blad3!B:B)</f>
        <v>0</v>
      </c>
      <c r="R138" s="12">
        <f>_xlfn.XLOOKUP(Tabell4[[#This Row],[Namn]],Blad3!A:A,Blad3!C:C)</f>
        <v>7</v>
      </c>
      <c r="S138" s="12">
        <f>_xlfn.XLOOKUP(Tabell4[[#This Row],[Namn]],Blad3!A:A,Blad3!D:D)</f>
        <v>0</v>
      </c>
      <c r="T138" s="12">
        <f>_xlfn.XLOOKUP(Tabell4[[#This Row],[Namn]],Blad3!A:A,Blad3!E:E)</f>
        <v>0</v>
      </c>
      <c r="U138" s="12">
        <f>RANK(Tabell4[[#This Row],[SÄS]],Tabell4[SÄS])</f>
        <v>114</v>
      </c>
      <c r="V138" s="12">
        <f>_xlfn.XLOOKUP(Tabell4[[#This Row],[Namn]],Blad3!H:H,Blad3!I:I)</f>
        <v>0</v>
      </c>
      <c r="W138" s="12">
        <f>_xlfn.XLOOKUP(Tabell4[[#This Row],[Namn]],Blad3!H:H,Blad3!J:J)</f>
        <v>0</v>
      </c>
      <c r="X138" s="12">
        <f>_xlfn.XLOOKUP(Tabell4[[#This Row],[Namn]],Blad3!H:H,Blad3!K:K)</f>
        <v>0</v>
      </c>
      <c r="Y138" s="12">
        <f>_xlfn.XLOOKUP(Tabell4[[#This Row],[Namn]],Blad3!H:H,Blad3!L:L)</f>
        <v>0</v>
      </c>
    </row>
    <row r="139" spans="1:25" x14ac:dyDescent="0.25">
      <c r="A139" s="15">
        <f>Tabell4[[#This Row],[RANK MATCHER]]</f>
        <v>121</v>
      </c>
      <c r="B139" s="11" t="s">
        <v>87</v>
      </c>
      <c r="C139" s="12">
        <f>SUMIF('ALLA ÅR'!B:B,Tabell4[[#This Row],[Namn]],'ALLA ÅR'!C:C)</f>
        <v>7</v>
      </c>
      <c r="D139" s="12">
        <f>SUMIF('ALLA ÅR'!B:B,Tabell4[[#This Row],[Namn]],'ALLA ÅR'!E:E)</f>
        <v>0</v>
      </c>
      <c r="E139" s="12">
        <f>SUMIF('ALLA ÅR'!B:B,Tabell4[[#This Row],[Namn]],'ALLA ÅR'!F:F)</f>
        <v>0</v>
      </c>
      <c r="F139" s="12">
        <f>SUMIF('ALLA ÅR'!B:B,Tabell4[[#This Row],[Namn]],'ALLA ÅR'!G:G)</f>
        <v>1</v>
      </c>
      <c r="G139" s="12">
        <f>VLOOKUP(Tabell4[[#This Row],[Namn]],'ALLA ÅR'!B:J,9,0)</f>
        <v>2022</v>
      </c>
      <c r="H139" s="12">
        <f>COUNTIF('ALLA ÅR'!B:B,Tabell4[[#This Row],[Namn]])</f>
        <v>3</v>
      </c>
      <c r="I139" s="12">
        <f>VLOOKUP(Tabell4[[#This Row],[Namn]],'ALLA ÅR'!B:L,11,0)</f>
        <v>31</v>
      </c>
      <c r="J139" s="12">
        <f>RANK(Tabell4[[#This Row],[MÅL]],F:F)</f>
        <v>67</v>
      </c>
      <c r="K139" s="12">
        <f>RANK(Tabell4[[#This Row],[VAR]],D:D)</f>
        <v>54</v>
      </c>
      <c r="L139" s="12">
        <f>RANK(Tabell4[[#This Row],[MAT]],C:C)</f>
        <v>121</v>
      </c>
      <c r="M139" s="14">
        <f>Tabell4[[#This Row],[MAT]]/Tabell4[[#This Row],[ANTAL MATCHER]]</f>
        <v>0.11475409836065574</v>
      </c>
      <c r="N139" s="12">
        <f>SUMIF('ALLA ÅR'!B:B,Tabell4[[#This Row],[Namn]],'ALLA ÅR'!H:H)</f>
        <v>61</v>
      </c>
      <c r="O139" s="12">
        <f>(Tabell4[[#This Row],[UTV]]*2)+Tabell4[[#This Row],[VAR]]</f>
        <v>0</v>
      </c>
      <c r="P139" s="12">
        <f>COUNTIF('100%'!B:B,Tabell4[[#This Row],[Namn]])</f>
        <v>0</v>
      </c>
      <c r="Q139" s="12">
        <f>_xlfn.XLOOKUP(Tabell4[[#This Row],[Namn]],Blad3!A:A,Blad3!B:B)</f>
        <v>1</v>
      </c>
      <c r="R139" s="12">
        <f>_xlfn.XLOOKUP(Tabell4[[#This Row],[Namn]],Blad3!A:A,Blad3!C:C)</f>
        <v>3</v>
      </c>
      <c r="S139" s="12">
        <f>_xlfn.XLOOKUP(Tabell4[[#This Row],[Namn]],Blad3!A:A,Blad3!D:D)</f>
        <v>3</v>
      </c>
      <c r="T139" s="12">
        <f>_xlfn.XLOOKUP(Tabell4[[#This Row],[Namn]],Blad3!A:A,Blad3!E:E)</f>
        <v>0</v>
      </c>
      <c r="U139" s="12">
        <f>RANK(Tabell4[[#This Row],[SÄS]],Tabell4[SÄS])</f>
        <v>33</v>
      </c>
      <c r="V139" s="12">
        <f>_xlfn.XLOOKUP(Tabell4[[#This Row],[Namn]],Blad3!H:H,Blad3!I:I)</f>
        <v>0</v>
      </c>
      <c r="W139" s="12">
        <f>_xlfn.XLOOKUP(Tabell4[[#This Row],[Namn]],Blad3!H:H,Blad3!J:J)</f>
        <v>0</v>
      </c>
      <c r="X139" s="12">
        <f>_xlfn.XLOOKUP(Tabell4[[#This Row],[Namn]],Blad3!H:H,Blad3!K:K)</f>
        <v>1</v>
      </c>
      <c r="Y139" s="12">
        <f>_xlfn.XLOOKUP(Tabell4[[#This Row],[Namn]],Blad3!H:H,Blad3!L:L)</f>
        <v>0</v>
      </c>
    </row>
    <row r="140" spans="1:25" x14ac:dyDescent="0.25">
      <c r="A140" s="15">
        <f>Tabell4[[#This Row],[RANK MATCHER]]</f>
        <v>121</v>
      </c>
      <c r="B140" s="11" t="s">
        <v>125</v>
      </c>
      <c r="C140" s="12">
        <f>SUMIF('ALLA ÅR'!B:B,Tabell4[[#This Row],[Namn]],'ALLA ÅR'!C:C)</f>
        <v>7</v>
      </c>
      <c r="D140" s="12">
        <f>SUMIF('ALLA ÅR'!B:B,Tabell4[[#This Row],[Namn]],'ALLA ÅR'!E:E)</f>
        <v>0</v>
      </c>
      <c r="E140" s="12">
        <f>SUMIF('ALLA ÅR'!B:B,Tabell4[[#This Row],[Namn]],'ALLA ÅR'!F:F)</f>
        <v>0</v>
      </c>
      <c r="F140" s="12">
        <f>SUMIF('ALLA ÅR'!B:B,Tabell4[[#This Row],[Namn]],'ALLA ÅR'!G:G)</f>
        <v>2</v>
      </c>
      <c r="G140" s="12">
        <f>VLOOKUP(Tabell4[[#This Row],[Namn]],'ALLA ÅR'!B:J,9,0)</f>
        <v>2017</v>
      </c>
      <c r="H140" s="12">
        <f>COUNTIF('ALLA ÅR'!B:B,Tabell4[[#This Row],[Namn]])</f>
        <v>2</v>
      </c>
      <c r="I140" s="12">
        <f>VLOOKUP(Tabell4[[#This Row],[Namn]],'ALLA ÅR'!B:L,11,0)</f>
        <v>25</v>
      </c>
      <c r="J140" s="12">
        <f>RANK(Tabell4[[#This Row],[MÅL]],F:F)</f>
        <v>59</v>
      </c>
      <c r="K140" s="12">
        <f>RANK(Tabell4[[#This Row],[VAR]],D:D)</f>
        <v>54</v>
      </c>
      <c r="L140" s="12">
        <f>RANK(Tabell4[[#This Row],[MAT]],C:C)</f>
        <v>121</v>
      </c>
      <c r="M140" s="14">
        <f>Tabell4[[#This Row],[MAT]]/Tabell4[[#This Row],[ANTAL MATCHER]]</f>
        <v>0.21875</v>
      </c>
      <c r="N140" s="12">
        <f>SUMIF('ALLA ÅR'!B:B,Tabell4[[#This Row],[Namn]],'ALLA ÅR'!H:H)</f>
        <v>32</v>
      </c>
      <c r="O140" s="12">
        <f>(Tabell4[[#This Row],[UTV]]*2)+Tabell4[[#This Row],[VAR]]</f>
        <v>0</v>
      </c>
      <c r="P140" s="12">
        <f>COUNTIF('100%'!B:B,Tabell4[[#This Row],[Namn]])</f>
        <v>0</v>
      </c>
      <c r="Q140" s="12">
        <f>_xlfn.XLOOKUP(Tabell4[[#This Row],[Namn]],Blad3!A:A,Blad3!B:B)</f>
        <v>0</v>
      </c>
      <c r="R140" s="12">
        <f>_xlfn.XLOOKUP(Tabell4[[#This Row],[Namn]],Blad3!A:A,Blad3!C:C)</f>
        <v>0</v>
      </c>
      <c r="S140" s="12">
        <f>_xlfn.XLOOKUP(Tabell4[[#This Row],[Namn]],Blad3!A:A,Blad3!D:D)</f>
        <v>4</v>
      </c>
      <c r="T140" s="12">
        <f>_xlfn.XLOOKUP(Tabell4[[#This Row],[Namn]],Blad3!A:A,Blad3!E:E)</f>
        <v>3</v>
      </c>
      <c r="U140" s="12">
        <f>RANK(Tabell4[[#This Row],[SÄS]],Tabell4[SÄS])</f>
        <v>61</v>
      </c>
      <c r="V140" s="12">
        <f>_xlfn.XLOOKUP(Tabell4[[#This Row],[Namn]],Blad3!H:H,Blad3!I:I)</f>
        <v>0</v>
      </c>
      <c r="W140" s="12">
        <f>_xlfn.XLOOKUP(Tabell4[[#This Row],[Namn]],Blad3!H:H,Blad3!J:J)</f>
        <v>0</v>
      </c>
      <c r="X140" s="12">
        <f>_xlfn.XLOOKUP(Tabell4[[#This Row],[Namn]],Blad3!H:H,Blad3!K:K)</f>
        <v>1</v>
      </c>
      <c r="Y140" s="12">
        <f>_xlfn.XLOOKUP(Tabell4[[#This Row],[Namn]],Blad3!H:H,Blad3!L:L)</f>
        <v>1</v>
      </c>
    </row>
    <row r="141" spans="1:25" x14ac:dyDescent="0.25">
      <c r="A141" s="15">
        <f>Tabell4[[#This Row],[RANK MATCHER]]</f>
        <v>121</v>
      </c>
      <c r="B141" s="11" t="s">
        <v>123</v>
      </c>
      <c r="C141" s="12">
        <f>SUMIF('ALLA ÅR'!B:B,Tabell4[[#This Row],[Namn]],'ALLA ÅR'!C:C)</f>
        <v>7</v>
      </c>
      <c r="D141" s="12">
        <f>SUMIF('ALLA ÅR'!B:B,Tabell4[[#This Row],[Namn]],'ALLA ÅR'!E:E)</f>
        <v>0</v>
      </c>
      <c r="E141" s="12">
        <f>SUMIF('ALLA ÅR'!B:B,Tabell4[[#This Row],[Namn]],'ALLA ÅR'!F:F)</f>
        <v>0</v>
      </c>
      <c r="F141" s="12">
        <f>SUMIF('ALLA ÅR'!B:B,Tabell4[[#This Row],[Namn]],'ALLA ÅR'!G:G)</f>
        <v>1</v>
      </c>
      <c r="G141" s="12">
        <f>VLOOKUP(Tabell4[[#This Row],[Namn]],'ALLA ÅR'!B:J,9,0)</f>
        <v>2017</v>
      </c>
      <c r="H141" s="12">
        <f>COUNTIF('ALLA ÅR'!B:B,Tabell4[[#This Row],[Namn]])</f>
        <v>1</v>
      </c>
      <c r="I141" s="12">
        <f>VLOOKUP(Tabell4[[#This Row],[Namn]],'ALLA ÅR'!B:L,11,0)</f>
        <v>16</v>
      </c>
      <c r="J141" s="12">
        <f>RANK(Tabell4[[#This Row],[MÅL]],F:F)</f>
        <v>67</v>
      </c>
      <c r="K141" s="12">
        <f>RANK(Tabell4[[#This Row],[VAR]],D:D)</f>
        <v>54</v>
      </c>
      <c r="L141" s="12">
        <f>RANK(Tabell4[[#This Row],[MAT]],C:C)</f>
        <v>121</v>
      </c>
      <c r="M141" s="14">
        <f>Tabell4[[#This Row],[MAT]]/Tabell4[[#This Row],[ANTAL MATCHER]]</f>
        <v>0.4375</v>
      </c>
      <c r="N141" s="12">
        <f>SUMIF('ALLA ÅR'!B:B,Tabell4[[#This Row],[Namn]],'ALLA ÅR'!H:H)</f>
        <v>16</v>
      </c>
      <c r="O141" s="12">
        <f>(Tabell4[[#This Row],[UTV]]*2)+Tabell4[[#This Row],[VAR]]</f>
        <v>0</v>
      </c>
      <c r="P141" s="12">
        <f>COUNTIF('100%'!B:B,Tabell4[[#This Row],[Namn]])</f>
        <v>0</v>
      </c>
      <c r="Q141" s="12">
        <f>_xlfn.XLOOKUP(Tabell4[[#This Row],[Namn]],Blad3!A:A,Blad3!B:B)</f>
        <v>0</v>
      </c>
      <c r="R141" s="12">
        <f>_xlfn.XLOOKUP(Tabell4[[#This Row],[Namn]],Blad3!A:A,Blad3!C:C)</f>
        <v>0</v>
      </c>
      <c r="S141" s="12">
        <f>_xlfn.XLOOKUP(Tabell4[[#This Row],[Namn]],Blad3!A:A,Blad3!D:D)</f>
        <v>7</v>
      </c>
      <c r="T141" s="12">
        <f>_xlfn.XLOOKUP(Tabell4[[#This Row],[Namn]],Blad3!A:A,Blad3!E:E)</f>
        <v>0</v>
      </c>
      <c r="U141" s="12">
        <f>RANK(Tabell4[[#This Row],[SÄS]],Tabell4[SÄS])</f>
        <v>114</v>
      </c>
      <c r="V141" s="12">
        <f>_xlfn.XLOOKUP(Tabell4[[#This Row],[Namn]],Blad3!H:H,Blad3!I:I)</f>
        <v>0</v>
      </c>
      <c r="W141" s="12">
        <f>_xlfn.XLOOKUP(Tabell4[[#This Row],[Namn]],Blad3!H:H,Blad3!J:J)</f>
        <v>0</v>
      </c>
      <c r="X141" s="12">
        <f>_xlfn.XLOOKUP(Tabell4[[#This Row],[Namn]],Blad3!H:H,Blad3!K:K)</f>
        <v>1</v>
      </c>
      <c r="Y141" s="12">
        <f>_xlfn.XLOOKUP(Tabell4[[#This Row],[Namn]],Blad3!H:H,Blad3!L:L)</f>
        <v>0</v>
      </c>
    </row>
    <row r="142" spans="1:25" x14ac:dyDescent="0.25">
      <c r="A142" s="15">
        <f>Tabell4[[#This Row],[RANK MATCHER]]</f>
        <v>121</v>
      </c>
      <c r="B142" s="11" t="s">
        <v>204</v>
      </c>
      <c r="C142" s="12">
        <f>SUMIF('ALLA ÅR'!B:B,Tabell4[[#This Row],[Namn]],'ALLA ÅR'!C:C)</f>
        <v>7</v>
      </c>
      <c r="D142" s="12">
        <f>SUMIF('ALLA ÅR'!B:B,Tabell4[[#This Row],[Namn]],'ALLA ÅR'!E:E)</f>
        <v>0</v>
      </c>
      <c r="E142" s="12">
        <f>SUMIF('ALLA ÅR'!B:B,Tabell4[[#This Row],[Namn]],'ALLA ÅR'!F:F)</f>
        <v>0</v>
      </c>
      <c r="F142" s="12">
        <f>SUMIF('ALLA ÅR'!B:B,Tabell4[[#This Row],[Namn]],'ALLA ÅR'!G:G)</f>
        <v>1</v>
      </c>
      <c r="G142" s="12">
        <f>VLOOKUP(Tabell4[[#This Row],[Namn]],'ALLA ÅR'!B:J,9,0)</f>
        <v>2010</v>
      </c>
      <c r="H142" s="12">
        <f>COUNTIF('ALLA ÅR'!B:B,Tabell4[[#This Row],[Namn]])</f>
        <v>1</v>
      </c>
      <c r="I142" s="12">
        <f>VLOOKUP(Tabell4[[#This Row],[Namn]],'ALLA ÅR'!B:L,11,0)</f>
        <v>18</v>
      </c>
      <c r="J142" s="12">
        <f>RANK(Tabell4[[#This Row],[MÅL]],F:F)</f>
        <v>67</v>
      </c>
      <c r="K142" s="12">
        <f>RANK(Tabell4[[#This Row],[VAR]],D:D)</f>
        <v>54</v>
      </c>
      <c r="L142" s="12">
        <f>RANK(Tabell4[[#This Row],[MAT]],C:C)</f>
        <v>121</v>
      </c>
      <c r="M142" s="14">
        <f>Tabell4[[#This Row],[MAT]]/Tabell4[[#This Row],[ANTAL MATCHER]]</f>
        <v>0.31818181818181818</v>
      </c>
      <c r="N142" s="12">
        <f>SUMIF('ALLA ÅR'!B:B,Tabell4[[#This Row],[Namn]],'ALLA ÅR'!H:H)</f>
        <v>22</v>
      </c>
      <c r="O142" s="12">
        <f>(Tabell4[[#This Row],[UTV]]*2)+Tabell4[[#This Row],[VAR]]</f>
        <v>0</v>
      </c>
      <c r="P142" s="12">
        <f>COUNTIF('100%'!B:B,Tabell4[[#This Row],[Namn]])</f>
        <v>0</v>
      </c>
      <c r="Q142" s="12">
        <f>_xlfn.XLOOKUP(Tabell4[[#This Row],[Namn]],Blad3!A:A,Blad3!B:B)</f>
        <v>0</v>
      </c>
      <c r="R142" s="12">
        <f>_xlfn.XLOOKUP(Tabell4[[#This Row],[Namn]],Blad3!A:A,Blad3!C:C)</f>
        <v>0</v>
      </c>
      <c r="S142" s="12">
        <f>_xlfn.XLOOKUP(Tabell4[[#This Row],[Namn]],Blad3!A:A,Blad3!D:D)</f>
        <v>7</v>
      </c>
      <c r="T142" s="12">
        <f>_xlfn.XLOOKUP(Tabell4[[#This Row],[Namn]],Blad3!A:A,Blad3!E:E)</f>
        <v>0</v>
      </c>
      <c r="U142" s="12">
        <f>RANK(Tabell4[[#This Row],[SÄS]],Tabell4[SÄS])</f>
        <v>114</v>
      </c>
      <c r="V142" s="12">
        <f>_xlfn.XLOOKUP(Tabell4[[#This Row],[Namn]],Blad3!H:H,Blad3!I:I)</f>
        <v>0</v>
      </c>
      <c r="W142" s="12">
        <f>_xlfn.XLOOKUP(Tabell4[[#This Row],[Namn]],Blad3!H:H,Blad3!J:J)</f>
        <v>0</v>
      </c>
      <c r="X142" s="12">
        <f>_xlfn.XLOOKUP(Tabell4[[#This Row],[Namn]],Blad3!H:H,Blad3!K:K)</f>
        <v>1</v>
      </c>
      <c r="Y142" s="12">
        <f>_xlfn.XLOOKUP(Tabell4[[#This Row],[Namn]],Blad3!H:H,Blad3!L:L)</f>
        <v>0</v>
      </c>
    </row>
    <row r="143" spans="1:25" x14ac:dyDescent="0.25">
      <c r="A143" s="15">
        <f>Tabell4[[#This Row],[RANK MATCHER]]</f>
        <v>129</v>
      </c>
      <c r="B143" s="11" t="s">
        <v>30</v>
      </c>
      <c r="C143" s="12">
        <f>SUMIF('ALLA ÅR'!B:B,Tabell4[[#This Row],[Namn]],'ALLA ÅR'!C:C)</f>
        <v>6</v>
      </c>
      <c r="D143" s="12">
        <f>SUMIF('ALLA ÅR'!B:B,Tabell4[[#This Row],[Namn]],'ALLA ÅR'!E:E)</f>
        <v>0</v>
      </c>
      <c r="E143" s="12">
        <f>SUMIF('ALLA ÅR'!B:B,Tabell4[[#This Row],[Namn]],'ALLA ÅR'!F:F)</f>
        <v>0</v>
      </c>
      <c r="F143" s="12">
        <f>SUMIF('ALLA ÅR'!B:B,Tabell4[[#This Row],[Namn]],'ALLA ÅR'!G:G)</f>
        <v>5</v>
      </c>
      <c r="G143" s="12">
        <f>VLOOKUP(Tabell4[[#This Row],[Namn]],'ALLA ÅR'!B:J,9,0)</f>
        <v>2026</v>
      </c>
      <c r="H143" s="12">
        <f>COUNTIF('ALLA ÅR'!B:B,Tabell4[[#This Row],[Namn]])</f>
        <v>2</v>
      </c>
      <c r="I143" s="12">
        <f>VLOOKUP(Tabell4[[#This Row],[Namn]],'ALLA ÅR'!B:L,11,0)</f>
        <v>21</v>
      </c>
      <c r="J143" s="12">
        <f>RANK(Tabell4[[#This Row],[MÅL]],F:F)</f>
        <v>37</v>
      </c>
      <c r="K143" s="12">
        <f>RANK(Tabell4[[#This Row],[VAR]],D:D)</f>
        <v>54</v>
      </c>
      <c r="L143" s="12">
        <f>RANK(Tabell4[[#This Row],[MAT]],C:C)</f>
        <v>129</v>
      </c>
      <c r="M143" s="14">
        <f>Tabell4[[#This Row],[MAT]]/Tabell4[[#This Row],[ANTAL MATCHER]]</f>
        <v>0.75</v>
      </c>
      <c r="N143" s="12">
        <f>SUMIF('ALLA ÅR'!B:B,Tabell4[[#This Row],[Namn]],'ALLA ÅR'!H:H)</f>
        <v>8</v>
      </c>
      <c r="O143" s="12">
        <f>(Tabell4[[#This Row],[UTV]]*2)+Tabell4[[#This Row],[VAR]]</f>
        <v>0</v>
      </c>
      <c r="P143" s="12">
        <f>COUNTIF('100%'!B:B,Tabell4[[#This Row],[Namn]])</f>
        <v>0</v>
      </c>
      <c r="Q143" s="12">
        <f>_xlfn.XLOOKUP(Tabell4[[#This Row],[Namn]],Blad3!A:A,Blad3!B:B)</f>
        <v>0</v>
      </c>
      <c r="R143" s="12">
        <f>_xlfn.XLOOKUP(Tabell4[[#This Row],[Namn]],Blad3!A:A,Blad3!C:C)</f>
        <v>2</v>
      </c>
      <c r="S143" s="12">
        <f>_xlfn.XLOOKUP(Tabell4[[#This Row],[Namn]],Blad3!A:A,Blad3!D:D)</f>
        <v>0</v>
      </c>
      <c r="T143" s="12">
        <f>_xlfn.XLOOKUP(Tabell4[[#This Row],[Namn]],Blad3!A:A,Blad3!E:E)</f>
        <v>4</v>
      </c>
      <c r="U143" s="12">
        <f>RANK(Tabell4[[#This Row],[SÄS]],Tabell4[SÄS])</f>
        <v>61</v>
      </c>
      <c r="V143" s="12">
        <f>_xlfn.XLOOKUP(Tabell4[[#This Row],[Namn]],Blad3!H:H,Blad3!I:I)</f>
        <v>0</v>
      </c>
      <c r="W143" s="12">
        <f>_xlfn.XLOOKUP(Tabell4[[#This Row],[Namn]],Blad3!H:H,Blad3!J:J)</f>
        <v>1</v>
      </c>
      <c r="X143" s="12">
        <f>_xlfn.XLOOKUP(Tabell4[[#This Row],[Namn]],Blad3!H:H,Blad3!K:K)</f>
        <v>0</v>
      </c>
      <c r="Y143" s="12">
        <f>_xlfn.XLOOKUP(Tabell4[[#This Row],[Namn]],Blad3!H:H,Blad3!L:L)</f>
        <v>4</v>
      </c>
    </row>
    <row r="144" spans="1:25" x14ac:dyDescent="0.25">
      <c r="A144" s="15">
        <f>Tabell4[[#This Row],[RANK MATCHER]]</f>
        <v>129</v>
      </c>
      <c r="B144" s="11" t="s">
        <v>158</v>
      </c>
      <c r="C144" s="12">
        <f>SUMIF('ALLA ÅR'!B:B,Tabell4[[#This Row],[Namn]],'ALLA ÅR'!C:C)</f>
        <v>6</v>
      </c>
      <c r="D144" s="12">
        <f>SUMIF('ALLA ÅR'!B:B,Tabell4[[#This Row],[Namn]],'ALLA ÅR'!E:E)</f>
        <v>0</v>
      </c>
      <c r="E144" s="12">
        <f>SUMIF('ALLA ÅR'!B:B,Tabell4[[#This Row],[Namn]],'ALLA ÅR'!F:F)</f>
        <v>0</v>
      </c>
      <c r="F144" s="12">
        <f>SUMIF('ALLA ÅR'!B:B,Tabell4[[#This Row],[Namn]],'ALLA ÅR'!G:G)</f>
        <v>1</v>
      </c>
      <c r="G144" s="12">
        <f>VLOOKUP(Tabell4[[#This Row],[Namn]],'ALLA ÅR'!B:J,9,0)</f>
        <v>2015</v>
      </c>
      <c r="H144" s="12">
        <f>COUNTIF('ALLA ÅR'!B:B,Tabell4[[#This Row],[Namn]])</f>
        <v>2</v>
      </c>
      <c r="I144" s="12">
        <f>VLOOKUP(Tabell4[[#This Row],[Namn]],'ALLA ÅR'!B:L,11,0)</f>
        <v>17</v>
      </c>
      <c r="J144" s="12">
        <f>RANK(Tabell4[[#This Row],[MÅL]],F:F)</f>
        <v>67</v>
      </c>
      <c r="K144" s="12">
        <f>RANK(Tabell4[[#This Row],[VAR]],D:D)</f>
        <v>54</v>
      </c>
      <c r="L144" s="12">
        <f>RANK(Tabell4[[#This Row],[MAT]],C:C)</f>
        <v>129</v>
      </c>
      <c r="M144" s="14">
        <f>Tabell4[[#This Row],[MAT]]/Tabell4[[#This Row],[ANTAL MATCHER]]</f>
        <v>0.15384615384615385</v>
      </c>
      <c r="N144" s="12">
        <f>SUMIF('ALLA ÅR'!B:B,Tabell4[[#This Row],[Namn]],'ALLA ÅR'!H:H)</f>
        <v>39</v>
      </c>
      <c r="O144" s="12">
        <f>(Tabell4[[#This Row],[UTV]]*2)+Tabell4[[#This Row],[VAR]]</f>
        <v>0</v>
      </c>
      <c r="P144" s="12">
        <f>COUNTIF('100%'!B:B,Tabell4[[#This Row],[Namn]])</f>
        <v>0</v>
      </c>
      <c r="Q144" s="12">
        <f>_xlfn.XLOOKUP(Tabell4[[#This Row],[Namn]],Blad3!A:A,Blad3!B:B)</f>
        <v>0</v>
      </c>
      <c r="R144" s="12">
        <f>_xlfn.XLOOKUP(Tabell4[[#This Row],[Namn]],Blad3!A:A,Blad3!C:C)</f>
        <v>0</v>
      </c>
      <c r="S144" s="12">
        <f>_xlfn.XLOOKUP(Tabell4[[#This Row],[Namn]],Blad3!A:A,Blad3!D:D)</f>
        <v>0</v>
      </c>
      <c r="T144" s="12">
        <f>_xlfn.XLOOKUP(Tabell4[[#This Row],[Namn]],Blad3!A:A,Blad3!E:E)</f>
        <v>6</v>
      </c>
      <c r="U144" s="12">
        <f>RANK(Tabell4[[#This Row],[SÄS]],Tabell4[SÄS])</f>
        <v>61</v>
      </c>
      <c r="V144" s="12">
        <f>_xlfn.XLOOKUP(Tabell4[[#This Row],[Namn]],Blad3!H:H,Blad3!I:I)</f>
        <v>0</v>
      </c>
      <c r="W144" s="12">
        <f>_xlfn.XLOOKUP(Tabell4[[#This Row],[Namn]],Blad3!H:H,Blad3!J:J)</f>
        <v>0</v>
      </c>
      <c r="X144" s="12">
        <f>_xlfn.XLOOKUP(Tabell4[[#This Row],[Namn]],Blad3!H:H,Blad3!K:K)</f>
        <v>0</v>
      </c>
      <c r="Y144" s="12">
        <f>_xlfn.XLOOKUP(Tabell4[[#This Row],[Namn]],Blad3!H:H,Blad3!L:L)</f>
        <v>1</v>
      </c>
    </row>
    <row r="145" spans="1:25" x14ac:dyDescent="0.25">
      <c r="A145" s="15">
        <f>Tabell4[[#This Row],[RANK MATCHER]]</f>
        <v>129</v>
      </c>
      <c r="B145" s="11" t="s">
        <v>195</v>
      </c>
      <c r="C145" s="12">
        <f>SUMIF('ALLA ÅR'!B:B,Tabell4[[#This Row],[Namn]],'ALLA ÅR'!C:C)</f>
        <v>6</v>
      </c>
      <c r="D145" s="12">
        <f>SUMIF('ALLA ÅR'!B:B,Tabell4[[#This Row],[Namn]],'ALLA ÅR'!E:E)</f>
        <v>0</v>
      </c>
      <c r="E145" s="12">
        <f>SUMIF('ALLA ÅR'!B:B,Tabell4[[#This Row],[Namn]],'ALLA ÅR'!F:F)</f>
        <v>0</v>
      </c>
      <c r="F145" s="12">
        <f>SUMIF('ALLA ÅR'!B:B,Tabell4[[#This Row],[Namn]],'ALLA ÅR'!G:G)</f>
        <v>0</v>
      </c>
      <c r="G145" s="12">
        <f>VLOOKUP(Tabell4[[#This Row],[Namn]],'ALLA ÅR'!B:J,9,0)</f>
        <v>2011</v>
      </c>
      <c r="H145" s="12">
        <f>COUNTIF('ALLA ÅR'!B:B,Tabell4[[#This Row],[Namn]])</f>
        <v>1</v>
      </c>
      <c r="I145" s="12">
        <f>VLOOKUP(Tabell4[[#This Row],[Namn]],'ALLA ÅR'!B:L,11,0)</f>
        <v>19</v>
      </c>
      <c r="J145" s="12">
        <f>RANK(Tabell4[[#This Row],[MÅL]],F:F)</f>
        <v>107</v>
      </c>
      <c r="K145" s="12">
        <f>RANK(Tabell4[[#This Row],[VAR]],D:D)</f>
        <v>54</v>
      </c>
      <c r="L145" s="12">
        <f>RANK(Tabell4[[#This Row],[MAT]],C:C)</f>
        <v>129</v>
      </c>
      <c r="M145" s="14">
        <f>Tabell4[[#This Row],[MAT]]/Tabell4[[#This Row],[ANTAL MATCHER]]</f>
        <v>0.25</v>
      </c>
      <c r="N145" s="12">
        <f>SUMIF('ALLA ÅR'!B:B,Tabell4[[#This Row],[Namn]],'ALLA ÅR'!H:H)</f>
        <v>24</v>
      </c>
      <c r="O145" s="12">
        <f>(Tabell4[[#This Row],[UTV]]*2)+Tabell4[[#This Row],[VAR]]</f>
        <v>0</v>
      </c>
      <c r="P145" s="12">
        <f>COUNTIF('100%'!B:B,Tabell4[[#This Row],[Namn]])</f>
        <v>0</v>
      </c>
      <c r="Q145" s="12">
        <f>_xlfn.XLOOKUP(Tabell4[[#This Row],[Namn]],Blad3!A:A,Blad3!B:B)</f>
        <v>0</v>
      </c>
      <c r="R145" s="12">
        <f>_xlfn.XLOOKUP(Tabell4[[#This Row],[Namn]],Blad3!A:A,Blad3!C:C)</f>
        <v>0</v>
      </c>
      <c r="S145" s="12">
        <f>_xlfn.XLOOKUP(Tabell4[[#This Row],[Namn]],Blad3!A:A,Blad3!D:D)</f>
        <v>6</v>
      </c>
      <c r="T145" s="12">
        <f>_xlfn.XLOOKUP(Tabell4[[#This Row],[Namn]],Blad3!A:A,Blad3!E:E)</f>
        <v>0</v>
      </c>
      <c r="U145" s="12">
        <f>RANK(Tabell4[[#This Row],[SÄS]],Tabell4[SÄS])</f>
        <v>114</v>
      </c>
      <c r="V145" s="12">
        <f>_xlfn.XLOOKUP(Tabell4[[#This Row],[Namn]],Blad3!H:H,Blad3!I:I)</f>
        <v>0</v>
      </c>
      <c r="W145" s="12">
        <f>_xlfn.XLOOKUP(Tabell4[[#This Row],[Namn]],Blad3!H:H,Blad3!J:J)</f>
        <v>0</v>
      </c>
      <c r="X145" s="12">
        <f>_xlfn.XLOOKUP(Tabell4[[#This Row],[Namn]],Blad3!H:H,Blad3!K:K)</f>
        <v>0</v>
      </c>
      <c r="Y145" s="12">
        <f>_xlfn.XLOOKUP(Tabell4[[#This Row],[Namn]],Blad3!H:H,Blad3!L:L)</f>
        <v>0</v>
      </c>
    </row>
    <row r="146" spans="1:25" x14ac:dyDescent="0.25">
      <c r="A146" s="15">
        <f>Tabell4[[#This Row],[RANK MATCHER]]</f>
        <v>132</v>
      </c>
      <c r="B146" s="11" t="s">
        <v>65</v>
      </c>
      <c r="C146" s="12">
        <f>SUMIF('ALLA ÅR'!B:B,Tabell4[[#This Row],[Namn]],'ALLA ÅR'!C:C)</f>
        <v>5</v>
      </c>
      <c r="D146" s="12">
        <f>SUMIF('ALLA ÅR'!B:B,Tabell4[[#This Row],[Namn]],'ALLA ÅR'!E:E)</f>
        <v>0</v>
      </c>
      <c r="E146" s="12">
        <f>SUMIF('ALLA ÅR'!B:B,Tabell4[[#This Row],[Namn]],'ALLA ÅR'!F:F)</f>
        <v>0</v>
      </c>
      <c r="F146" s="12">
        <f>SUMIF('ALLA ÅR'!B:B,Tabell4[[#This Row],[Namn]],'ALLA ÅR'!G:G)</f>
        <v>0</v>
      </c>
      <c r="G146" s="12">
        <f>VLOOKUP(Tabell4[[#This Row],[Namn]],'ALLA ÅR'!B:J,9,0)</f>
        <v>2024</v>
      </c>
      <c r="H146" s="12">
        <f>COUNTIF('ALLA ÅR'!B:B,Tabell4[[#This Row],[Namn]])</f>
        <v>2</v>
      </c>
      <c r="I146" s="12">
        <f>VLOOKUP(Tabell4[[#This Row],[Namn]],'ALLA ÅR'!B:L,11,0)</f>
        <v>16</v>
      </c>
      <c r="J146" s="12">
        <f>RANK(Tabell4[[#This Row],[MÅL]],F:F)</f>
        <v>107</v>
      </c>
      <c r="K146" s="12">
        <f>RANK(Tabell4[[#This Row],[VAR]],D:D)</f>
        <v>54</v>
      </c>
      <c r="L146" s="12">
        <f>RANK(Tabell4[[#This Row],[MAT]],C:C)</f>
        <v>132</v>
      </c>
      <c r="M146" s="14">
        <f>Tabell4[[#This Row],[MAT]]/Tabell4[[#This Row],[ANTAL MATCHER]]</f>
        <v>9.8039215686274508E-2</v>
      </c>
      <c r="N146" s="12">
        <f>SUMIF('ALLA ÅR'!B:B,Tabell4[[#This Row],[Namn]],'ALLA ÅR'!H:H)</f>
        <v>51</v>
      </c>
      <c r="O146" s="12">
        <f>(Tabell4[[#This Row],[UTV]]*2)+Tabell4[[#This Row],[VAR]]</f>
        <v>0</v>
      </c>
      <c r="P146" s="12">
        <f>COUNTIF('100%'!B:B,Tabell4[[#This Row],[Namn]])</f>
        <v>0</v>
      </c>
      <c r="Q146" s="12">
        <f>_xlfn.XLOOKUP(Tabell4[[#This Row],[Namn]],Blad3!A:A,Blad3!B:B)</f>
        <v>0</v>
      </c>
      <c r="R146" s="12">
        <f>_xlfn.XLOOKUP(Tabell4[[#This Row],[Namn]],Blad3!A:A,Blad3!C:C)</f>
        <v>5</v>
      </c>
      <c r="S146" s="12">
        <f>_xlfn.XLOOKUP(Tabell4[[#This Row],[Namn]],Blad3!A:A,Blad3!D:D)</f>
        <v>0</v>
      </c>
      <c r="T146" s="12">
        <f>_xlfn.XLOOKUP(Tabell4[[#This Row],[Namn]],Blad3!A:A,Blad3!E:E)</f>
        <v>0</v>
      </c>
      <c r="U146" s="12">
        <f>RANK(Tabell4[[#This Row],[SÄS]],Tabell4[SÄS])</f>
        <v>61</v>
      </c>
      <c r="V146" s="12">
        <f>_xlfn.XLOOKUP(Tabell4[[#This Row],[Namn]],Blad3!H:H,Blad3!I:I)</f>
        <v>0</v>
      </c>
      <c r="W146" s="12">
        <f>_xlfn.XLOOKUP(Tabell4[[#This Row],[Namn]],Blad3!H:H,Blad3!J:J)</f>
        <v>0</v>
      </c>
      <c r="X146" s="12">
        <f>_xlfn.XLOOKUP(Tabell4[[#This Row],[Namn]],Blad3!H:H,Blad3!K:K)</f>
        <v>0</v>
      </c>
      <c r="Y146" s="12">
        <f>_xlfn.XLOOKUP(Tabell4[[#This Row],[Namn]],Blad3!H:H,Blad3!L:L)</f>
        <v>0</v>
      </c>
    </row>
    <row r="147" spans="1:25" x14ac:dyDescent="0.25">
      <c r="A147" s="15">
        <f>Tabell4[[#This Row],[RANK MATCHER]]</f>
        <v>132</v>
      </c>
      <c r="B147" s="11" t="s">
        <v>96</v>
      </c>
      <c r="C147" s="12">
        <f>SUMIF('ALLA ÅR'!B:B,Tabell4[[#This Row],[Namn]],'ALLA ÅR'!C:C)</f>
        <v>5</v>
      </c>
      <c r="D147" s="12">
        <f>SUMIF('ALLA ÅR'!B:B,Tabell4[[#This Row],[Namn]],'ALLA ÅR'!E:E)</f>
        <v>0</v>
      </c>
      <c r="E147" s="12">
        <f>SUMIF('ALLA ÅR'!B:B,Tabell4[[#This Row],[Namn]],'ALLA ÅR'!F:F)</f>
        <v>0</v>
      </c>
      <c r="F147" s="12">
        <f>SUMIF('ALLA ÅR'!B:B,Tabell4[[#This Row],[Namn]],'ALLA ÅR'!G:G)</f>
        <v>0</v>
      </c>
      <c r="G147" s="12">
        <f>VLOOKUP(Tabell4[[#This Row],[Namn]],'ALLA ÅR'!B:J,9,0)</f>
        <v>2021</v>
      </c>
      <c r="H147" s="12">
        <f>COUNTIF('ALLA ÅR'!B:B,Tabell4[[#This Row],[Namn]])</f>
        <v>3</v>
      </c>
      <c r="I147" s="12">
        <f>VLOOKUP(Tabell4[[#This Row],[Namn]],'ALLA ÅR'!B:L,11,0)</f>
        <v>20</v>
      </c>
      <c r="J147" s="12">
        <f>RANK(Tabell4[[#This Row],[MÅL]],F:F)</f>
        <v>107</v>
      </c>
      <c r="K147" s="12">
        <f>RANK(Tabell4[[#This Row],[VAR]],D:D)</f>
        <v>54</v>
      </c>
      <c r="L147" s="12">
        <f>RANK(Tabell4[[#This Row],[MAT]],C:C)</f>
        <v>132</v>
      </c>
      <c r="M147" s="14">
        <f>Tabell4[[#This Row],[MAT]]/Tabell4[[#This Row],[ANTAL MATCHER]]</f>
        <v>0.1</v>
      </c>
      <c r="N147" s="12">
        <f>SUMIF('ALLA ÅR'!B:B,Tabell4[[#This Row],[Namn]],'ALLA ÅR'!H:H)</f>
        <v>50</v>
      </c>
      <c r="O147" s="12">
        <f>(Tabell4[[#This Row],[UTV]]*2)+Tabell4[[#This Row],[VAR]]</f>
        <v>0</v>
      </c>
      <c r="P147" s="12">
        <f>COUNTIF('100%'!B:B,Tabell4[[#This Row],[Namn]])</f>
        <v>0</v>
      </c>
      <c r="Q147" s="12">
        <f>_xlfn.XLOOKUP(Tabell4[[#This Row],[Namn]],Blad3!A:A,Blad3!B:B)</f>
        <v>0</v>
      </c>
      <c r="R147" s="12">
        <f>_xlfn.XLOOKUP(Tabell4[[#This Row],[Namn]],Blad3!A:A,Blad3!C:C)</f>
        <v>3</v>
      </c>
      <c r="S147" s="12">
        <f>_xlfn.XLOOKUP(Tabell4[[#This Row],[Namn]],Blad3!A:A,Blad3!D:D)</f>
        <v>0</v>
      </c>
      <c r="T147" s="12">
        <f>_xlfn.XLOOKUP(Tabell4[[#This Row],[Namn]],Blad3!A:A,Blad3!E:E)</f>
        <v>2</v>
      </c>
      <c r="U147" s="12">
        <f>RANK(Tabell4[[#This Row],[SÄS]],Tabell4[SÄS])</f>
        <v>33</v>
      </c>
      <c r="V147" s="12">
        <f>_xlfn.XLOOKUP(Tabell4[[#This Row],[Namn]],Blad3!H:H,Blad3!I:I)</f>
        <v>0</v>
      </c>
      <c r="W147" s="12">
        <f>_xlfn.XLOOKUP(Tabell4[[#This Row],[Namn]],Blad3!H:H,Blad3!J:J)</f>
        <v>0</v>
      </c>
      <c r="X147" s="12">
        <f>_xlfn.XLOOKUP(Tabell4[[#This Row],[Namn]],Blad3!H:H,Blad3!K:K)</f>
        <v>0</v>
      </c>
      <c r="Y147" s="12">
        <f>_xlfn.XLOOKUP(Tabell4[[#This Row],[Namn]],Blad3!H:H,Blad3!L:L)</f>
        <v>0</v>
      </c>
    </row>
    <row r="148" spans="1:25" x14ac:dyDescent="0.25">
      <c r="A148" s="15">
        <f>Tabell4[[#This Row],[RANK MATCHER]]</f>
        <v>132</v>
      </c>
      <c r="B148" s="11" t="s">
        <v>141</v>
      </c>
      <c r="C148" s="12">
        <f>SUMIF('ALLA ÅR'!B:B,Tabell4[[#This Row],[Namn]],'ALLA ÅR'!C:C)</f>
        <v>5</v>
      </c>
      <c r="D148" s="12">
        <f>SUMIF('ALLA ÅR'!B:B,Tabell4[[#This Row],[Namn]],'ALLA ÅR'!E:E)</f>
        <v>0</v>
      </c>
      <c r="E148" s="12">
        <f>SUMIF('ALLA ÅR'!B:B,Tabell4[[#This Row],[Namn]],'ALLA ÅR'!F:F)</f>
        <v>0</v>
      </c>
      <c r="F148" s="12">
        <f>SUMIF('ALLA ÅR'!B:B,Tabell4[[#This Row],[Namn]],'ALLA ÅR'!G:G)</f>
        <v>1</v>
      </c>
      <c r="G148" s="12">
        <f>VLOOKUP(Tabell4[[#This Row],[Namn]],'ALLA ÅR'!B:J,9,0)</f>
        <v>2016</v>
      </c>
      <c r="H148" s="12">
        <f>COUNTIF('ALLA ÅR'!B:B,Tabell4[[#This Row],[Namn]])</f>
        <v>1</v>
      </c>
      <c r="I148" s="12">
        <f>VLOOKUP(Tabell4[[#This Row],[Namn]],'ALLA ÅR'!B:L,11,0)</f>
        <v>17</v>
      </c>
      <c r="J148" s="12">
        <f>RANK(Tabell4[[#This Row],[MÅL]],F:F)</f>
        <v>67</v>
      </c>
      <c r="K148" s="12">
        <f>RANK(Tabell4[[#This Row],[VAR]],D:D)</f>
        <v>54</v>
      </c>
      <c r="L148" s="12">
        <f>RANK(Tabell4[[#This Row],[MAT]],C:C)</f>
        <v>132</v>
      </c>
      <c r="M148" s="14">
        <f>Tabell4[[#This Row],[MAT]]/Tabell4[[#This Row],[ANTAL MATCHER]]</f>
        <v>0.3125</v>
      </c>
      <c r="N148" s="12">
        <f>SUMIF('ALLA ÅR'!B:B,Tabell4[[#This Row],[Namn]],'ALLA ÅR'!H:H)</f>
        <v>16</v>
      </c>
      <c r="O148" s="12">
        <f>(Tabell4[[#This Row],[UTV]]*2)+Tabell4[[#This Row],[VAR]]</f>
        <v>0</v>
      </c>
      <c r="P148" s="12">
        <f>COUNTIF('100%'!B:B,Tabell4[[#This Row],[Namn]])</f>
        <v>0</v>
      </c>
      <c r="Q148" s="12">
        <f>_xlfn.XLOOKUP(Tabell4[[#This Row],[Namn]],Blad3!A:A,Blad3!B:B)</f>
        <v>0</v>
      </c>
      <c r="R148" s="12">
        <f>_xlfn.XLOOKUP(Tabell4[[#This Row],[Namn]],Blad3!A:A,Blad3!C:C)</f>
        <v>0</v>
      </c>
      <c r="S148" s="12">
        <f>_xlfn.XLOOKUP(Tabell4[[#This Row],[Namn]],Blad3!A:A,Blad3!D:D)</f>
        <v>0</v>
      </c>
      <c r="T148" s="12">
        <f>_xlfn.XLOOKUP(Tabell4[[#This Row],[Namn]],Blad3!A:A,Blad3!E:E)</f>
        <v>5</v>
      </c>
      <c r="U148" s="12">
        <f>RANK(Tabell4[[#This Row],[SÄS]],Tabell4[SÄS])</f>
        <v>114</v>
      </c>
      <c r="V148" s="12">
        <f>_xlfn.XLOOKUP(Tabell4[[#This Row],[Namn]],Blad3!H:H,Blad3!I:I)</f>
        <v>0</v>
      </c>
      <c r="W148" s="12">
        <f>_xlfn.XLOOKUP(Tabell4[[#This Row],[Namn]],Blad3!H:H,Blad3!J:J)</f>
        <v>0</v>
      </c>
      <c r="X148" s="12">
        <f>_xlfn.XLOOKUP(Tabell4[[#This Row],[Namn]],Blad3!H:H,Blad3!K:K)</f>
        <v>0</v>
      </c>
      <c r="Y148" s="12">
        <f>_xlfn.XLOOKUP(Tabell4[[#This Row],[Namn]],Blad3!H:H,Blad3!L:L)</f>
        <v>1</v>
      </c>
    </row>
    <row r="149" spans="1:25" x14ac:dyDescent="0.25">
      <c r="A149" s="15">
        <f>Tabell4[[#This Row],[RANK MATCHER]]</f>
        <v>132</v>
      </c>
      <c r="B149" s="11" t="s">
        <v>146</v>
      </c>
      <c r="C149" s="12">
        <f>SUMIF('ALLA ÅR'!B:B,Tabell4[[#This Row],[Namn]],'ALLA ÅR'!C:C)</f>
        <v>5</v>
      </c>
      <c r="D149" s="12">
        <f>SUMIF('ALLA ÅR'!B:B,Tabell4[[#This Row],[Namn]],'ALLA ÅR'!E:E)</f>
        <v>0</v>
      </c>
      <c r="E149" s="12">
        <f>SUMIF('ALLA ÅR'!B:B,Tabell4[[#This Row],[Namn]],'ALLA ÅR'!F:F)</f>
        <v>0</v>
      </c>
      <c r="F149" s="12">
        <f>SUMIF('ALLA ÅR'!B:B,Tabell4[[#This Row],[Namn]],'ALLA ÅR'!G:G)</f>
        <v>1</v>
      </c>
      <c r="G149" s="12">
        <f>VLOOKUP(Tabell4[[#This Row],[Namn]],'ALLA ÅR'!B:J,9,0)</f>
        <v>2016</v>
      </c>
      <c r="H149" s="12">
        <f>COUNTIF('ALLA ÅR'!B:B,Tabell4[[#This Row],[Namn]])</f>
        <v>2</v>
      </c>
      <c r="I149" s="12">
        <f>VLOOKUP(Tabell4[[#This Row],[Namn]],'ALLA ÅR'!B:L,11,0)</f>
        <v>15</v>
      </c>
      <c r="J149" s="12">
        <f>RANK(Tabell4[[#This Row],[MÅL]],F:F)</f>
        <v>67</v>
      </c>
      <c r="K149" s="12">
        <f>RANK(Tabell4[[#This Row],[VAR]],D:D)</f>
        <v>54</v>
      </c>
      <c r="L149" s="12">
        <f>RANK(Tabell4[[#This Row],[MAT]],C:C)</f>
        <v>132</v>
      </c>
      <c r="M149" s="14">
        <f>Tabell4[[#This Row],[MAT]]/Tabell4[[#This Row],[ANTAL MATCHER]]</f>
        <v>0.12820512820512819</v>
      </c>
      <c r="N149" s="12">
        <f>SUMIF('ALLA ÅR'!B:B,Tabell4[[#This Row],[Namn]],'ALLA ÅR'!H:H)</f>
        <v>39</v>
      </c>
      <c r="O149" s="12">
        <f>(Tabell4[[#This Row],[UTV]]*2)+Tabell4[[#This Row],[VAR]]</f>
        <v>0</v>
      </c>
      <c r="P149" s="12">
        <f>COUNTIF('100%'!B:B,Tabell4[[#This Row],[Namn]])</f>
        <v>0</v>
      </c>
      <c r="Q149" s="12">
        <f>_xlfn.XLOOKUP(Tabell4[[#This Row],[Namn]],Blad3!A:A,Blad3!B:B)</f>
        <v>0</v>
      </c>
      <c r="R149" s="12">
        <f>_xlfn.XLOOKUP(Tabell4[[#This Row],[Namn]],Blad3!A:A,Blad3!C:C)</f>
        <v>0</v>
      </c>
      <c r="S149" s="12">
        <f>_xlfn.XLOOKUP(Tabell4[[#This Row],[Namn]],Blad3!A:A,Blad3!D:D)</f>
        <v>0</v>
      </c>
      <c r="T149" s="12">
        <f>_xlfn.XLOOKUP(Tabell4[[#This Row],[Namn]],Blad3!A:A,Blad3!E:E)</f>
        <v>5</v>
      </c>
      <c r="U149" s="12">
        <f>RANK(Tabell4[[#This Row],[SÄS]],Tabell4[SÄS])</f>
        <v>61</v>
      </c>
      <c r="V149" s="12">
        <f>_xlfn.XLOOKUP(Tabell4[[#This Row],[Namn]],Blad3!H:H,Blad3!I:I)</f>
        <v>0</v>
      </c>
      <c r="W149" s="12">
        <f>_xlfn.XLOOKUP(Tabell4[[#This Row],[Namn]],Blad3!H:H,Blad3!J:J)</f>
        <v>0</v>
      </c>
      <c r="X149" s="12">
        <f>_xlfn.XLOOKUP(Tabell4[[#This Row],[Namn]],Blad3!H:H,Blad3!K:K)</f>
        <v>0</v>
      </c>
      <c r="Y149" s="12">
        <f>_xlfn.XLOOKUP(Tabell4[[#This Row],[Namn]],Blad3!H:H,Blad3!L:L)</f>
        <v>1</v>
      </c>
    </row>
    <row r="150" spans="1:25" x14ac:dyDescent="0.25">
      <c r="A150" s="15">
        <f>Tabell4[[#This Row],[RANK MATCHER]]</f>
        <v>132</v>
      </c>
      <c r="B150" s="11" t="s">
        <v>157</v>
      </c>
      <c r="C150" s="12">
        <f>SUMIF('ALLA ÅR'!B:B,Tabell4[[#This Row],[Namn]],'ALLA ÅR'!C:C)</f>
        <v>5</v>
      </c>
      <c r="D150" s="12">
        <f>SUMIF('ALLA ÅR'!B:B,Tabell4[[#This Row],[Namn]],'ALLA ÅR'!E:E)</f>
        <v>0</v>
      </c>
      <c r="E150" s="12">
        <f>SUMIF('ALLA ÅR'!B:B,Tabell4[[#This Row],[Namn]],'ALLA ÅR'!F:F)</f>
        <v>0</v>
      </c>
      <c r="F150" s="12">
        <f>SUMIF('ALLA ÅR'!B:B,Tabell4[[#This Row],[Namn]],'ALLA ÅR'!G:G)</f>
        <v>1</v>
      </c>
      <c r="G150" s="12">
        <f>VLOOKUP(Tabell4[[#This Row],[Namn]],'ALLA ÅR'!B:J,9,0)</f>
        <v>2015</v>
      </c>
      <c r="H150" s="12">
        <f>COUNTIF('ALLA ÅR'!B:B,Tabell4[[#This Row],[Namn]])</f>
        <v>1</v>
      </c>
      <c r="I150" s="12">
        <f>VLOOKUP(Tabell4[[#This Row],[Namn]],'ALLA ÅR'!B:L,11,0)</f>
        <v>14</v>
      </c>
      <c r="J150" s="12">
        <f>RANK(Tabell4[[#This Row],[MÅL]],F:F)</f>
        <v>67</v>
      </c>
      <c r="K150" s="12">
        <f>RANK(Tabell4[[#This Row],[VAR]],D:D)</f>
        <v>54</v>
      </c>
      <c r="L150" s="12">
        <f>RANK(Tabell4[[#This Row],[MAT]],C:C)</f>
        <v>132</v>
      </c>
      <c r="M150" s="14">
        <f>Tabell4[[#This Row],[MAT]]/Tabell4[[#This Row],[ANTAL MATCHER]]</f>
        <v>0.21739130434782608</v>
      </c>
      <c r="N150" s="12">
        <f>SUMIF('ALLA ÅR'!B:B,Tabell4[[#This Row],[Namn]],'ALLA ÅR'!H:H)</f>
        <v>23</v>
      </c>
      <c r="O150" s="12">
        <f>(Tabell4[[#This Row],[UTV]]*2)+Tabell4[[#This Row],[VAR]]</f>
        <v>0</v>
      </c>
      <c r="P150" s="12">
        <f>COUNTIF('100%'!B:B,Tabell4[[#This Row],[Namn]])</f>
        <v>0</v>
      </c>
      <c r="Q150" s="12">
        <f>_xlfn.XLOOKUP(Tabell4[[#This Row],[Namn]],Blad3!A:A,Blad3!B:B)</f>
        <v>0</v>
      </c>
      <c r="R150" s="12">
        <f>_xlfn.XLOOKUP(Tabell4[[#This Row],[Namn]],Blad3!A:A,Blad3!C:C)</f>
        <v>0</v>
      </c>
      <c r="S150" s="12">
        <f>_xlfn.XLOOKUP(Tabell4[[#This Row],[Namn]],Blad3!A:A,Blad3!D:D)</f>
        <v>0</v>
      </c>
      <c r="T150" s="12">
        <f>_xlfn.XLOOKUP(Tabell4[[#This Row],[Namn]],Blad3!A:A,Blad3!E:E)</f>
        <v>5</v>
      </c>
      <c r="U150" s="12">
        <f>RANK(Tabell4[[#This Row],[SÄS]],Tabell4[SÄS])</f>
        <v>114</v>
      </c>
      <c r="V150" s="12">
        <f>_xlfn.XLOOKUP(Tabell4[[#This Row],[Namn]],Blad3!H:H,Blad3!I:I)</f>
        <v>0</v>
      </c>
      <c r="W150" s="12">
        <f>_xlfn.XLOOKUP(Tabell4[[#This Row],[Namn]],Blad3!H:H,Blad3!J:J)</f>
        <v>0</v>
      </c>
      <c r="X150" s="12">
        <f>_xlfn.XLOOKUP(Tabell4[[#This Row],[Namn]],Blad3!H:H,Blad3!K:K)</f>
        <v>0</v>
      </c>
      <c r="Y150" s="12">
        <f>_xlfn.XLOOKUP(Tabell4[[#This Row],[Namn]],Blad3!H:H,Blad3!L:L)</f>
        <v>1</v>
      </c>
    </row>
    <row r="151" spans="1:25" x14ac:dyDescent="0.25">
      <c r="A151" s="15">
        <f>Tabell4[[#This Row],[RANK MATCHER]]</f>
        <v>132</v>
      </c>
      <c r="B151" s="11" t="s">
        <v>174</v>
      </c>
      <c r="C151" s="12">
        <f>SUMIF('ALLA ÅR'!B:B,Tabell4[[#This Row],[Namn]],'ALLA ÅR'!C:C)</f>
        <v>5</v>
      </c>
      <c r="D151" s="12">
        <f>SUMIF('ALLA ÅR'!B:B,Tabell4[[#This Row],[Namn]],'ALLA ÅR'!E:E)</f>
        <v>0</v>
      </c>
      <c r="E151" s="12">
        <f>SUMIF('ALLA ÅR'!B:B,Tabell4[[#This Row],[Namn]],'ALLA ÅR'!F:F)</f>
        <v>0</v>
      </c>
      <c r="F151" s="12">
        <f>SUMIF('ALLA ÅR'!B:B,Tabell4[[#This Row],[Namn]],'ALLA ÅR'!G:G)</f>
        <v>0</v>
      </c>
      <c r="G151" s="12">
        <f>VLOOKUP(Tabell4[[#This Row],[Namn]],'ALLA ÅR'!B:J,9,0)</f>
        <v>2014</v>
      </c>
      <c r="H151" s="12">
        <f>COUNTIF('ALLA ÅR'!B:B,Tabell4[[#This Row],[Namn]])</f>
        <v>1</v>
      </c>
      <c r="I151" s="12">
        <f>VLOOKUP(Tabell4[[#This Row],[Namn]],'ALLA ÅR'!B:L,11,0)</f>
        <v>20</v>
      </c>
      <c r="J151" s="12">
        <f>RANK(Tabell4[[#This Row],[MÅL]],F:F)</f>
        <v>107</v>
      </c>
      <c r="K151" s="12">
        <f>RANK(Tabell4[[#This Row],[VAR]],D:D)</f>
        <v>54</v>
      </c>
      <c r="L151" s="12">
        <f>RANK(Tabell4[[#This Row],[MAT]],C:C)</f>
        <v>132</v>
      </c>
      <c r="M151" s="14">
        <f>Tabell4[[#This Row],[MAT]]/Tabell4[[#This Row],[ANTAL MATCHER]]</f>
        <v>0.3125</v>
      </c>
      <c r="N151" s="12">
        <f>SUMIF('ALLA ÅR'!B:B,Tabell4[[#This Row],[Namn]],'ALLA ÅR'!H:H)</f>
        <v>16</v>
      </c>
      <c r="O151" s="12">
        <f>(Tabell4[[#This Row],[UTV]]*2)+Tabell4[[#This Row],[VAR]]</f>
        <v>0</v>
      </c>
      <c r="P151" s="12">
        <f>COUNTIF('100%'!B:B,Tabell4[[#This Row],[Namn]])</f>
        <v>0</v>
      </c>
      <c r="Q151" s="12">
        <f>_xlfn.XLOOKUP(Tabell4[[#This Row],[Namn]],Blad3!A:A,Blad3!B:B)</f>
        <v>0</v>
      </c>
      <c r="R151" s="12">
        <f>_xlfn.XLOOKUP(Tabell4[[#This Row],[Namn]],Blad3!A:A,Blad3!C:C)</f>
        <v>0</v>
      </c>
      <c r="S151" s="12">
        <f>_xlfn.XLOOKUP(Tabell4[[#This Row],[Namn]],Blad3!A:A,Blad3!D:D)</f>
        <v>0</v>
      </c>
      <c r="T151" s="12">
        <f>_xlfn.XLOOKUP(Tabell4[[#This Row],[Namn]],Blad3!A:A,Blad3!E:E)</f>
        <v>5</v>
      </c>
      <c r="U151" s="12">
        <f>RANK(Tabell4[[#This Row],[SÄS]],Tabell4[SÄS])</f>
        <v>114</v>
      </c>
      <c r="V151" s="12">
        <f>_xlfn.XLOOKUP(Tabell4[[#This Row],[Namn]],Blad3!H:H,Blad3!I:I)</f>
        <v>0</v>
      </c>
      <c r="W151" s="12">
        <f>_xlfn.XLOOKUP(Tabell4[[#This Row],[Namn]],Blad3!H:H,Blad3!J:J)</f>
        <v>0</v>
      </c>
      <c r="X151" s="12">
        <f>_xlfn.XLOOKUP(Tabell4[[#This Row],[Namn]],Blad3!H:H,Blad3!K:K)</f>
        <v>0</v>
      </c>
      <c r="Y151" s="12">
        <f>_xlfn.XLOOKUP(Tabell4[[#This Row],[Namn]],Blad3!H:H,Blad3!L:L)</f>
        <v>0</v>
      </c>
    </row>
    <row r="152" spans="1:25" x14ac:dyDescent="0.25">
      <c r="A152" s="15">
        <f>Tabell4[[#This Row],[RANK MATCHER]]</f>
        <v>132</v>
      </c>
      <c r="B152" s="11" t="s">
        <v>196</v>
      </c>
      <c r="C152" s="12">
        <f>SUMIF('ALLA ÅR'!B:B,Tabell4[[#This Row],[Namn]],'ALLA ÅR'!C:C)</f>
        <v>5</v>
      </c>
      <c r="D152" s="12">
        <f>SUMIF('ALLA ÅR'!B:B,Tabell4[[#This Row],[Namn]],'ALLA ÅR'!E:E)</f>
        <v>0</v>
      </c>
      <c r="E152" s="12">
        <f>SUMIF('ALLA ÅR'!B:B,Tabell4[[#This Row],[Namn]],'ALLA ÅR'!F:F)</f>
        <v>0</v>
      </c>
      <c r="F152" s="12">
        <f>SUMIF('ALLA ÅR'!B:B,Tabell4[[#This Row],[Namn]],'ALLA ÅR'!G:G)</f>
        <v>0</v>
      </c>
      <c r="G152" s="12">
        <f>VLOOKUP(Tabell4[[#This Row],[Namn]],'ALLA ÅR'!B:J,9,0)</f>
        <v>2011</v>
      </c>
      <c r="H152" s="12">
        <f>COUNTIF('ALLA ÅR'!B:B,Tabell4[[#This Row],[Namn]])</f>
        <v>1</v>
      </c>
      <c r="I152" s="12">
        <f>VLOOKUP(Tabell4[[#This Row],[Namn]],'ALLA ÅR'!B:L,11,0)</f>
        <v>18</v>
      </c>
      <c r="J152" s="12">
        <f>RANK(Tabell4[[#This Row],[MÅL]],F:F)</f>
        <v>107</v>
      </c>
      <c r="K152" s="12">
        <f>RANK(Tabell4[[#This Row],[VAR]],D:D)</f>
        <v>54</v>
      </c>
      <c r="L152" s="12">
        <f>RANK(Tabell4[[#This Row],[MAT]],C:C)</f>
        <v>132</v>
      </c>
      <c r="M152" s="14">
        <f>Tabell4[[#This Row],[MAT]]/Tabell4[[#This Row],[ANTAL MATCHER]]</f>
        <v>0.20833333333333334</v>
      </c>
      <c r="N152" s="12">
        <f>SUMIF('ALLA ÅR'!B:B,Tabell4[[#This Row],[Namn]],'ALLA ÅR'!H:H)</f>
        <v>24</v>
      </c>
      <c r="O152" s="12">
        <f>(Tabell4[[#This Row],[UTV]]*2)+Tabell4[[#This Row],[VAR]]</f>
        <v>0</v>
      </c>
      <c r="P152" s="12">
        <f>COUNTIF('100%'!B:B,Tabell4[[#This Row],[Namn]])</f>
        <v>0</v>
      </c>
      <c r="Q152" s="12">
        <f>_xlfn.XLOOKUP(Tabell4[[#This Row],[Namn]],Blad3!A:A,Blad3!B:B)</f>
        <v>0</v>
      </c>
      <c r="R152" s="12">
        <f>_xlfn.XLOOKUP(Tabell4[[#This Row],[Namn]],Blad3!A:A,Blad3!C:C)</f>
        <v>0</v>
      </c>
      <c r="S152" s="12">
        <f>_xlfn.XLOOKUP(Tabell4[[#This Row],[Namn]],Blad3!A:A,Blad3!D:D)</f>
        <v>5</v>
      </c>
      <c r="T152" s="12">
        <f>_xlfn.XLOOKUP(Tabell4[[#This Row],[Namn]],Blad3!A:A,Blad3!E:E)</f>
        <v>0</v>
      </c>
      <c r="U152" s="12">
        <f>RANK(Tabell4[[#This Row],[SÄS]],Tabell4[SÄS])</f>
        <v>114</v>
      </c>
      <c r="V152" s="12">
        <f>_xlfn.XLOOKUP(Tabell4[[#This Row],[Namn]],Blad3!H:H,Blad3!I:I)</f>
        <v>0</v>
      </c>
      <c r="W152" s="12">
        <f>_xlfn.XLOOKUP(Tabell4[[#This Row],[Namn]],Blad3!H:H,Blad3!J:J)</f>
        <v>0</v>
      </c>
      <c r="X152" s="12">
        <f>_xlfn.XLOOKUP(Tabell4[[#This Row],[Namn]],Blad3!H:H,Blad3!K:K)</f>
        <v>0</v>
      </c>
      <c r="Y152" s="12">
        <f>_xlfn.XLOOKUP(Tabell4[[#This Row],[Namn]],Blad3!H:H,Blad3!L:L)</f>
        <v>0</v>
      </c>
    </row>
    <row r="153" spans="1:25" x14ac:dyDescent="0.25">
      <c r="A153" s="15">
        <f>Tabell4[[#This Row],[RANK MATCHER]]</f>
        <v>139</v>
      </c>
      <c r="B153" s="11" t="s">
        <v>27</v>
      </c>
      <c r="C153" s="12">
        <f>SUMIF('ALLA ÅR'!B:B,Tabell4[[#This Row],[Namn]],'ALLA ÅR'!C:C)</f>
        <v>4</v>
      </c>
      <c r="D153" s="12">
        <f>SUMIF('ALLA ÅR'!B:B,Tabell4[[#This Row],[Namn]],'ALLA ÅR'!E:E)</f>
        <v>0</v>
      </c>
      <c r="E153" s="12">
        <f>SUMIF('ALLA ÅR'!B:B,Tabell4[[#This Row],[Namn]],'ALLA ÅR'!F:F)</f>
        <v>0</v>
      </c>
      <c r="F153" s="12">
        <f>SUMIF('ALLA ÅR'!B:B,Tabell4[[#This Row],[Namn]],'ALLA ÅR'!G:G)</f>
        <v>1</v>
      </c>
      <c r="G153" s="12">
        <f>VLOOKUP(Tabell4[[#This Row],[Namn]],'ALLA ÅR'!B:J,9,0)</f>
        <v>2026</v>
      </c>
      <c r="H153" s="12">
        <f>COUNTIF('ALLA ÅR'!B:B,Tabell4[[#This Row],[Namn]])</f>
        <v>1</v>
      </c>
      <c r="I153" s="12">
        <f>VLOOKUP(Tabell4[[#This Row],[Namn]],'ALLA ÅR'!B:L,11,0)</f>
        <v>24</v>
      </c>
      <c r="J153" s="12">
        <f>RANK(Tabell4[[#This Row],[MÅL]],F:F)</f>
        <v>67</v>
      </c>
      <c r="K153" s="12">
        <f>RANK(Tabell4[[#This Row],[VAR]],D:D)</f>
        <v>54</v>
      </c>
      <c r="L153" s="12">
        <f>RANK(Tabell4[[#This Row],[MAT]],C:C)</f>
        <v>139</v>
      </c>
      <c r="M153" s="14">
        <f>Tabell4[[#This Row],[MAT]]/Tabell4[[#This Row],[ANTAL MATCHER]]</f>
        <v>1</v>
      </c>
      <c r="N153" s="12">
        <f>SUMIF('ALLA ÅR'!B:B,Tabell4[[#This Row],[Namn]],'ALLA ÅR'!H:H)</f>
        <v>4</v>
      </c>
      <c r="O153" s="12">
        <f>(Tabell4[[#This Row],[UTV]]*2)+Tabell4[[#This Row],[VAR]]</f>
        <v>0</v>
      </c>
      <c r="P153" s="12">
        <f>COUNTIF('100%'!B:B,Tabell4[[#This Row],[Namn]])</f>
        <v>0</v>
      </c>
      <c r="Q153" s="12">
        <f>_xlfn.XLOOKUP(Tabell4[[#This Row],[Namn]],Blad3!A:A,Blad3!B:B)</f>
        <v>0</v>
      </c>
      <c r="R153" s="12">
        <f>_xlfn.XLOOKUP(Tabell4[[#This Row],[Namn]],Blad3!A:A,Blad3!C:C)</f>
        <v>0</v>
      </c>
      <c r="S153" s="12">
        <f>_xlfn.XLOOKUP(Tabell4[[#This Row],[Namn]],Blad3!A:A,Blad3!D:D)</f>
        <v>0</v>
      </c>
      <c r="T153" s="12">
        <f>_xlfn.XLOOKUP(Tabell4[[#This Row],[Namn]],Blad3!A:A,Blad3!E:E)</f>
        <v>4</v>
      </c>
      <c r="U153" s="12">
        <f>RANK(Tabell4[[#This Row],[SÄS]],Tabell4[SÄS])</f>
        <v>114</v>
      </c>
      <c r="V153" s="12">
        <f>_xlfn.XLOOKUP(Tabell4[[#This Row],[Namn]],Blad3!H:H,Blad3!I:I)</f>
        <v>0</v>
      </c>
      <c r="W153" s="12">
        <f>_xlfn.XLOOKUP(Tabell4[[#This Row],[Namn]],Blad3!H:H,Blad3!J:J)</f>
        <v>0</v>
      </c>
      <c r="X153" s="12">
        <f>_xlfn.XLOOKUP(Tabell4[[#This Row],[Namn]],Blad3!H:H,Blad3!K:K)</f>
        <v>0</v>
      </c>
      <c r="Y153" s="12">
        <f>_xlfn.XLOOKUP(Tabell4[[#This Row],[Namn]],Blad3!H:H,Blad3!L:L)</f>
        <v>1</v>
      </c>
    </row>
    <row r="154" spans="1:25" x14ac:dyDescent="0.25">
      <c r="A154" s="15">
        <f>Tabell4[[#This Row],[RANK MATCHER]]</f>
        <v>139</v>
      </c>
      <c r="B154" s="11" t="s">
        <v>25</v>
      </c>
      <c r="C154" s="12">
        <f>SUMIF('ALLA ÅR'!B:B,Tabell4[[#This Row],[Namn]],'ALLA ÅR'!C:C)</f>
        <v>4</v>
      </c>
      <c r="D154" s="12">
        <f>SUMIF('ALLA ÅR'!B:B,Tabell4[[#This Row],[Namn]],'ALLA ÅR'!E:E)</f>
        <v>0</v>
      </c>
      <c r="E154" s="12">
        <f>SUMIF('ALLA ÅR'!B:B,Tabell4[[#This Row],[Namn]],'ALLA ÅR'!F:F)</f>
        <v>0</v>
      </c>
      <c r="F154" s="12">
        <f>SUMIF('ALLA ÅR'!B:B,Tabell4[[#This Row],[Namn]],'ALLA ÅR'!G:G)</f>
        <v>1</v>
      </c>
      <c r="G154" s="12">
        <f>VLOOKUP(Tabell4[[#This Row],[Namn]],'ALLA ÅR'!B:J,9,0)</f>
        <v>2026</v>
      </c>
      <c r="H154" s="12">
        <f>COUNTIF('ALLA ÅR'!B:B,Tabell4[[#This Row],[Namn]])</f>
        <v>1</v>
      </c>
      <c r="I154" s="12">
        <f>VLOOKUP(Tabell4[[#This Row],[Namn]],'ALLA ÅR'!B:L,11,0)</f>
        <v>24</v>
      </c>
      <c r="J154" s="12">
        <f>RANK(Tabell4[[#This Row],[MÅL]],F:F)</f>
        <v>67</v>
      </c>
      <c r="K154" s="12">
        <f>RANK(Tabell4[[#This Row],[VAR]],D:D)</f>
        <v>54</v>
      </c>
      <c r="L154" s="12">
        <f>RANK(Tabell4[[#This Row],[MAT]],C:C)</f>
        <v>139</v>
      </c>
      <c r="M154" s="14">
        <f>Tabell4[[#This Row],[MAT]]/Tabell4[[#This Row],[ANTAL MATCHER]]</f>
        <v>1</v>
      </c>
      <c r="N154" s="12">
        <f>SUMIF('ALLA ÅR'!B:B,Tabell4[[#This Row],[Namn]],'ALLA ÅR'!H:H)</f>
        <v>4</v>
      </c>
      <c r="O154" s="12">
        <f>(Tabell4[[#This Row],[UTV]]*2)+Tabell4[[#This Row],[VAR]]</f>
        <v>0</v>
      </c>
      <c r="P154" s="12">
        <f>COUNTIF('100%'!B:B,Tabell4[[#This Row],[Namn]])</f>
        <v>0</v>
      </c>
      <c r="Q154" s="12">
        <f>_xlfn.XLOOKUP(Tabell4[[#This Row],[Namn]],Blad3!A:A,Blad3!B:B)</f>
        <v>0</v>
      </c>
      <c r="R154" s="12">
        <f>_xlfn.XLOOKUP(Tabell4[[#This Row],[Namn]],Blad3!A:A,Blad3!C:C)</f>
        <v>0</v>
      </c>
      <c r="S154" s="12">
        <f>_xlfn.XLOOKUP(Tabell4[[#This Row],[Namn]],Blad3!A:A,Blad3!D:D)</f>
        <v>0</v>
      </c>
      <c r="T154" s="12">
        <f>_xlfn.XLOOKUP(Tabell4[[#This Row],[Namn]],Blad3!A:A,Blad3!E:E)</f>
        <v>4</v>
      </c>
      <c r="U154" s="12">
        <f>RANK(Tabell4[[#This Row],[SÄS]],Tabell4[SÄS])</f>
        <v>114</v>
      </c>
      <c r="V154" s="12">
        <f>_xlfn.XLOOKUP(Tabell4[[#This Row],[Namn]],Blad3!H:H,Blad3!I:I)</f>
        <v>0</v>
      </c>
      <c r="W154" s="12">
        <f>_xlfn.XLOOKUP(Tabell4[[#This Row],[Namn]],Blad3!H:H,Blad3!J:J)</f>
        <v>0</v>
      </c>
      <c r="X154" s="12">
        <f>_xlfn.XLOOKUP(Tabell4[[#This Row],[Namn]],Blad3!H:H,Blad3!K:K)</f>
        <v>0</v>
      </c>
      <c r="Y154" s="12">
        <f>_xlfn.XLOOKUP(Tabell4[[#This Row],[Namn]],Blad3!H:H,Blad3!L:L)</f>
        <v>1</v>
      </c>
    </row>
    <row r="155" spans="1:25" x14ac:dyDescent="0.25">
      <c r="A155" s="15">
        <f>Tabell4[[#This Row],[RANK MATCHER]]</f>
        <v>139</v>
      </c>
      <c r="B155" s="11" t="s">
        <v>38</v>
      </c>
      <c r="C155" s="12">
        <f>SUMIF('ALLA ÅR'!B:B,Tabell4[[#This Row],[Namn]],'ALLA ÅR'!C:C)</f>
        <v>4</v>
      </c>
      <c r="D155" s="12">
        <f>SUMIF('ALLA ÅR'!B:B,Tabell4[[#This Row],[Namn]],'ALLA ÅR'!E:E)</f>
        <v>1</v>
      </c>
      <c r="E155" s="12">
        <f>SUMIF('ALLA ÅR'!B:B,Tabell4[[#This Row],[Namn]],'ALLA ÅR'!F:F)</f>
        <v>0</v>
      </c>
      <c r="F155" s="12">
        <f>SUMIF('ALLA ÅR'!B:B,Tabell4[[#This Row],[Namn]],'ALLA ÅR'!G:G)</f>
        <v>0</v>
      </c>
      <c r="G155" s="12">
        <f>VLOOKUP(Tabell4[[#This Row],[Namn]],'ALLA ÅR'!B:J,9,0)</f>
        <v>2026</v>
      </c>
      <c r="H155" s="12">
        <f>COUNTIF('ALLA ÅR'!B:B,Tabell4[[#This Row],[Namn]])</f>
        <v>2</v>
      </c>
      <c r="I155" s="12">
        <f>VLOOKUP(Tabell4[[#This Row],[Namn]],'ALLA ÅR'!B:L,11,0)</f>
        <v>20</v>
      </c>
      <c r="J155" s="12">
        <f>RANK(Tabell4[[#This Row],[MÅL]],F:F)</f>
        <v>107</v>
      </c>
      <c r="K155" s="12">
        <f>RANK(Tabell4[[#This Row],[VAR]],D:D)</f>
        <v>27</v>
      </c>
      <c r="L155" s="12">
        <f>RANK(Tabell4[[#This Row],[MAT]],C:C)</f>
        <v>139</v>
      </c>
      <c r="M155" s="14">
        <f>Tabell4[[#This Row],[MAT]]/Tabell4[[#This Row],[ANTAL MATCHER]]</f>
        <v>0.2857142857142857</v>
      </c>
      <c r="N155" s="12">
        <f>SUMIF('ALLA ÅR'!B:B,Tabell4[[#This Row],[Namn]],'ALLA ÅR'!H:H)</f>
        <v>14</v>
      </c>
      <c r="O155" s="12">
        <f>(Tabell4[[#This Row],[UTV]]*2)+Tabell4[[#This Row],[VAR]]</f>
        <v>1</v>
      </c>
      <c r="P155" s="12">
        <f>COUNTIF('100%'!B:B,Tabell4[[#This Row],[Namn]])</f>
        <v>0</v>
      </c>
      <c r="Q155" s="12">
        <f>_xlfn.XLOOKUP(Tabell4[[#This Row],[Namn]],Blad3!A:A,Blad3!B:B)</f>
        <v>2</v>
      </c>
      <c r="R155" s="12">
        <f>_xlfn.XLOOKUP(Tabell4[[#This Row],[Namn]],Blad3!A:A,Blad3!C:C)</f>
        <v>0</v>
      </c>
      <c r="S155" s="12">
        <f>_xlfn.XLOOKUP(Tabell4[[#This Row],[Namn]],Blad3!A:A,Blad3!D:D)</f>
        <v>0</v>
      </c>
      <c r="T155" s="12">
        <f>_xlfn.XLOOKUP(Tabell4[[#This Row],[Namn]],Blad3!A:A,Blad3!E:E)</f>
        <v>2</v>
      </c>
      <c r="U155" s="12">
        <f>RANK(Tabell4[[#This Row],[SÄS]],Tabell4[SÄS])</f>
        <v>61</v>
      </c>
      <c r="V155" s="12">
        <f>_xlfn.XLOOKUP(Tabell4[[#This Row],[Namn]],Blad3!H:H,Blad3!I:I)</f>
        <v>0</v>
      </c>
      <c r="W155" s="12">
        <f>_xlfn.XLOOKUP(Tabell4[[#This Row],[Namn]],Blad3!H:H,Blad3!J:J)</f>
        <v>0</v>
      </c>
      <c r="X155" s="12">
        <f>_xlfn.XLOOKUP(Tabell4[[#This Row],[Namn]],Blad3!H:H,Blad3!K:K)</f>
        <v>0</v>
      </c>
      <c r="Y155" s="12">
        <f>_xlfn.XLOOKUP(Tabell4[[#This Row],[Namn]],Blad3!H:H,Blad3!L:L)</f>
        <v>0</v>
      </c>
    </row>
    <row r="156" spans="1:25" x14ac:dyDescent="0.25">
      <c r="A156" s="15">
        <f>Tabell4[[#This Row],[RANK MATCHER]]</f>
        <v>139</v>
      </c>
      <c r="B156" s="11" t="s">
        <v>45</v>
      </c>
      <c r="C156" s="12">
        <f>SUMIF('ALLA ÅR'!B:B,Tabell4[[#This Row],[Namn]],'ALLA ÅR'!C:C)</f>
        <v>4</v>
      </c>
      <c r="D156" s="12">
        <f>SUMIF('ALLA ÅR'!B:B,Tabell4[[#This Row],[Namn]],'ALLA ÅR'!E:E)</f>
        <v>0</v>
      </c>
      <c r="E156" s="12">
        <f>SUMIF('ALLA ÅR'!B:B,Tabell4[[#This Row],[Namn]],'ALLA ÅR'!F:F)</f>
        <v>0</v>
      </c>
      <c r="F156" s="12">
        <f>SUMIF('ALLA ÅR'!B:B,Tabell4[[#This Row],[Namn]],'ALLA ÅR'!G:G)</f>
        <v>3</v>
      </c>
      <c r="G156" s="12">
        <f>VLOOKUP(Tabell4[[#This Row],[Namn]],'ALLA ÅR'!B:J,9,0)</f>
        <v>2025</v>
      </c>
      <c r="H156" s="12">
        <f>COUNTIF('ALLA ÅR'!B:B,Tabell4[[#This Row],[Namn]])</f>
        <v>2</v>
      </c>
      <c r="I156" s="12">
        <f>VLOOKUP(Tabell4[[#This Row],[Namn]],'ALLA ÅR'!B:L,11,0)</f>
        <v>16</v>
      </c>
      <c r="J156" s="12">
        <f>RANK(Tabell4[[#This Row],[MÅL]],F:F)</f>
        <v>49</v>
      </c>
      <c r="K156" s="12">
        <f>RANK(Tabell4[[#This Row],[VAR]],D:D)</f>
        <v>54</v>
      </c>
      <c r="L156" s="12">
        <f>RANK(Tabell4[[#This Row],[MAT]],C:C)</f>
        <v>139</v>
      </c>
      <c r="M156" s="14">
        <f>Tabell4[[#This Row],[MAT]]/Tabell4[[#This Row],[ANTAL MATCHER]]</f>
        <v>0.12121212121212122</v>
      </c>
      <c r="N156" s="12">
        <f>SUMIF('ALLA ÅR'!B:B,Tabell4[[#This Row],[Namn]],'ALLA ÅR'!H:H)</f>
        <v>33</v>
      </c>
      <c r="O156" s="12">
        <f>(Tabell4[[#This Row],[UTV]]*2)+Tabell4[[#This Row],[VAR]]</f>
        <v>0</v>
      </c>
      <c r="P156" s="12">
        <f>COUNTIF('100%'!B:B,Tabell4[[#This Row],[Namn]])</f>
        <v>0</v>
      </c>
      <c r="Q156" s="12">
        <f>_xlfn.XLOOKUP(Tabell4[[#This Row],[Namn]],Blad3!A:A,Blad3!B:B)</f>
        <v>0</v>
      </c>
      <c r="R156" s="12">
        <f>_xlfn.XLOOKUP(Tabell4[[#This Row],[Namn]],Blad3!A:A,Blad3!C:C)</f>
        <v>4</v>
      </c>
      <c r="S156" s="12">
        <f>_xlfn.XLOOKUP(Tabell4[[#This Row],[Namn]],Blad3!A:A,Blad3!D:D)</f>
        <v>0</v>
      </c>
      <c r="T156" s="12">
        <f>_xlfn.XLOOKUP(Tabell4[[#This Row],[Namn]],Blad3!A:A,Blad3!E:E)</f>
        <v>0</v>
      </c>
      <c r="U156" s="12">
        <f>RANK(Tabell4[[#This Row],[SÄS]],Tabell4[SÄS])</f>
        <v>61</v>
      </c>
      <c r="V156" s="12">
        <f>_xlfn.XLOOKUP(Tabell4[[#This Row],[Namn]],Blad3!H:H,Blad3!I:I)</f>
        <v>0</v>
      </c>
      <c r="W156" s="12">
        <f>_xlfn.XLOOKUP(Tabell4[[#This Row],[Namn]],Blad3!H:H,Blad3!J:J)</f>
        <v>3</v>
      </c>
      <c r="X156" s="12">
        <f>_xlfn.XLOOKUP(Tabell4[[#This Row],[Namn]],Blad3!H:H,Blad3!K:K)</f>
        <v>0</v>
      </c>
      <c r="Y156" s="12">
        <f>_xlfn.XLOOKUP(Tabell4[[#This Row],[Namn]],Blad3!H:H,Blad3!L:L)</f>
        <v>0</v>
      </c>
    </row>
    <row r="157" spans="1:25" x14ac:dyDescent="0.25">
      <c r="A157" s="15">
        <f>Tabell4[[#This Row],[RANK MATCHER]]</f>
        <v>139</v>
      </c>
      <c r="B157" s="11" t="s">
        <v>47</v>
      </c>
      <c r="C157" s="12">
        <f>SUMIF('ALLA ÅR'!B:B,Tabell4[[#This Row],[Namn]],'ALLA ÅR'!C:C)</f>
        <v>4</v>
      </c>
      <c r="D157" s="12">
        <f>SUMIF('ALLA ÅR'!B:B,Tabell4[[#This Row],[Namn]],'ALLA ÅR'!E:E)</f>
        <v>0</v>
      </c>
      <c r="E157" s="12">
        <f>SUMIF('ALLA ÅR'!B:B,Tabell4[[#This Row],[Namn]],'ALLA ÅR'!F:F)</f>
        <v>0</v>
      </c>
      <c r="F157" s="12">
        <f>SUMIF('ALLA ÅR'!B:B,Tabell4[[#This Row],[Namn]],'ALLA ÅR'!G:G)</f>
        <v>1</v>
      </c>
      <c r="G157" s="12">
        <f>VLOOKUP(Tabell4[[#This Row],[Namn]],'ALLA ÅR'!B:J,9,0)</f>
        <v>2025</v>
      </c>
      <c r="H157" s="12">
        <f>COUNTIF('ALLA ÅR'!B:B,Tabell4[[#This Row],[Namn]])</f>
        <v>2</v>
      </c>
      <c r="I157" s="12">
        <f>VLOOKUP(Tabell4[[#This Row],[Namn]],'ALLA ÅR'!B:L,11,0)</f>
        <v>17</v>
      </c>
      <c r="J157" s="12">
        <f>RANK(Tabell4[[#This Row],[MÅL]],F:F)</f>
        <v>67</v>
      </c>
      <c r="K157" s="12">
        <f>RANK(Tabell4[[#This Row],[VAR]],D:D)</f>
        <v>54</v>
      </c>
      <c r="L157" s="12">
        <f>RANK(Tabell4[[#This Row],[MAT]],C:C)</f>
        <v>139</v>
      </c>
      <c r="M157" s="14">
        <f>Tabell4[[#This Row],[MAT]]/Tabell4[[#This Row],[ANTAL MATCHER]]</f>
        <v>0.12121212121212122</v>
      </c>
      <c r="N157" s="12">
        <f>SUMIF('ALLA ÅR'!B:B,Tabell4[[#This Row],[Namn]],'ALLA ÅR'!H:H)</f>
        <v>33</v>
      </c>
      <c r="O157" s="12">
        <f>(Tabell4[[#This Row],[UTV]]*2)+Tabell4[[#This Row],[VAR]]</f>
        <v>0</v>
      </c>
      <c r="P157" s="12">
        <f>COUNTIF('100%'!B:B,Tabell4[[#This Row],[Namn]])</f>
        <v>0</v>
      </c>
      <c r="Q157" s="12">
        <f>_xlfn.XLOOKUP(Tabell4[[#This Row],[Namn]],Blad3!A:A,Blad3!B:B)</f>
        <v>0</v>
      </c>
      <c r="R157" s="12">
        <f>_xlfn.XLOOKUP(Tabell4[[#This Row],[Namn]],Blad3!A:A,Blad3!C:C)</f>
        <v>4</v>
      </c>
      <c r="S157" s="12">
        <f>_xlfn.XLOOKUP(Tabell4[[#This Row],[Namn]],Blad3!A:A,Blad3!D:D)</f>
        <v>0</v>
      </c>
      <c r="T157" s="12">
        <f>_xlfn.XLOOKUP(Tabell4[[#This Row],[Namn]],Blad3!A:A,Blad3!E:E)</f>
        <v>0</v>
      </c>
      <c r="U157" s="12">
        <f>RANK(Tabell4[[#This Row],[SÄS]],Tabell4[SÄS])</f>
        <v>61</v>
      </c>
      <c r="V157" s="12">
        <f>_xlfn.XLOOKUP(Tabell4[[#This Row],[Namn]],Blad3!H:H,Blad3!I:I)</f>
        <v>0</v>
      </c>
      <c r="W157" s="12">
        <f>_xlfn.XLOOKUP(Tabell4[[#This Row],[Namn]],Blad3!H:H,Blad3!J:J)</f>
        <v>1</v>
      </c>
      <c r="X157" s="12">
        <f>_xlfn.XLOOKUP(Tabell4[[#This Row],[Namn]],Blad3!H:H,Blad3!K:K)</f>
        <v>0</v>
      </c>
      <c r="Y157" s="12">
        <f>_xlfn.XLOOKUP(Tabell4[[#This Row],[Namn]],Blad3!H:H,Blad3!L:L)</f>
        <v>0</v>
      </c>
    </row>
    <row r="158" spans="1:25" x14ac:dyDescent="0.25">
      <c r="A158" s="15">
        <f>Tabell4[[#This Row],[RANK MATCHER]]</f>
        <v>139</v>
      </c>
      <c r="B158" s="11" t="s">
        <v>44</v>
      </c>
      <c r="C158" s="12">
        <f>SUMIF('ALLA ÅR'!B:B,Tabell4[[#This Row],[Namn]],'ALLA ÅR'!C:C)</f>
        <v>4</v>
      </c>
      <c r="D158" s="12">
        <f>SUMIF('ALLA ÅR'!B:B,Tabell4[[#This Row],[Namn]],'ALLA ÅR'!E:E)</f>
        <v>0</v>
      </c>
      <c r="E158" s="12">
        <f>SUMIF('ALLA ÅR'!B:B,Tabell4[[#This Row],[Namn]],'ALLA ÅR'!F:F)</f>
        <v>0</v>
      </c>
      <c r="F158" s="12">
        <f>SUMIF('ALLA ÅR'!B:B,Tabell4[[#This Row],[Namn]],'ALLA ÅR'!G:G)</f>
        <v>0</v>
      </c>
      <c r="G158" s="12">
        <f>VLOOKUP(Tabell4[[#This Row],[Namn]],'ALLA ÅR'!B:J,9,0)</f>
        <v>2025</v>
      </c>
      <c r="H158" s="12">
        <f>COUNTIF('ALLA ÅR'!B:B,Tabell4[[#This Row],[Namn]])</f>
        <v>1</v>
      </c>
      <c r="I158" s="12">
        <f>VLOOKUP(Tabell4[[#This Row],[Namn]],'ALLA ÅR'!B:L,11,0)</f>
        <v>19</v>
      </c>
      <c r="J158" s="12">
        <f>RANK(Tabell4[[#This Row],[MÅL]],F:F)</f>
        <v>107</v>
      </c>
      <c r="K158" s="12">
        <f>RANK(Tabell4[[#This Row],[VAR]],D:D)</f>
        <v>54</v>
      </c>
      <c r="L158" s="12">
        <f>RANK(Tabell4[[#This Row],[MAT]],C:C)</f>
        <v>139</v>
      </c>
      <c r="M158" s="14">
        <f>Tabell4[[#This Row],[MAT]]/Tabell4[[#This Row],[ANTAL MATCHER]]</f>
        <v>1</v>
      </c>
      <c r="N158" s="12">
        <f>SUMIF('ALLA ÅR'!B:B,Tabell4[[#This Row],[Namn]],'ALLA ÅR'!H:H)</f>
        <v>4</v>
      </c>
      <c r="O158" s="12">
        <f>(Tabell4[[#This Row],[UTV]]*2)+Tabell4[[#This Row],[VAR]]</f>
        <v>0</v>
      </c>
      <c r="P158" s="12">
        <f>COUNTIF('100%'!B:B,Tabell4[[#This Row],[Namn]])</f>
        <v>1</v>
      </c>
      <c r="Q158" s="12">
        <f>_xlfn.XLOOKUP(Tabell4[[#This Row],[Namn]],Blad3!A:A,Blad3!B:B)</f>
        <v>0</v>
      </c>
      <c r="R158" s="12">
        <f>_xlfn.XLOOKUP(Tabell4[[#This Row],[Namn]],Blad3!A:A,Blad3!C:C)</f>
        <v>4</v>
      </c>
      <c r="S158" s="12">
        <f>_xlfn.XLOOKUP(Tabell4[[#This Row],[Namn]],Blad3!A:A,Blad3!D:D)</f>
        <v>0</v>
      </c>
      <c r="T158" s="12">
        <f>_xlfn.XLOOKUP(Tabell4[[#This Row],[Namn]],Blad3!A:A,Blad3!E:E)</f>
        <v>0</v>
      </c>
      <c r="U158" s="12">
        <f>RANK(Tabell4[[#This Row],[SÄS]],Tabell4[SÄS])</f>
        <v>114</v>
      </c>
      <c r="V158" s="12">
        <f>_xlfn.XLOOKUP(Tabell4[[#This Row],[Namn]],Blad3!H:H,Blad3!I:I)</f>
        <v>0</v>
      </c>
      <c r="W158" s="12">
        <f>_xlfn.XLOOKUP(Tabell4[[#This Row],[Namn]],Blad3!H:H,Blad3!J:J)</f>
        <v>0</v>
      </c>
      <c r="X158" s="12">
        <f>_xlfn.XLOOKUP(Tabell4[[#This Row],[Namn]],Blad3!H:H,Blad3!K:K)</f>
        <v>0</v>
      </c>
      <c r="Y158" s="12">
        <f>_xlfn.XLOOKUP(Tabell4[[#This Row],[Namn]],Blad3!H:H,Blad3!L:L)</f>
        <v>0</v>
      </c>
    </row>
    <row r="159" spans="1:25" x14ac:dyDescent="0.25">
      <c r="A159" s="15">
        <f>Tabell4[[#This Row],[RANK MATCHER]]</f>
        <v>139</v>
      </c>
      <c r="B159" s="11" t="s">
        <v>78</v>
      </c>
      <c r="C159" s="12">
        <f>SUMIF('ALLA ÅR'!B:B,Tabell4[[#This Row],[Namn]],'ALLA ÅR'!C:C)</f>
        <v>4</v>
      </c>
      <c r="D159" s="12">
        <f>SUMIF('ALLA ÅR'!B:B,Tabell4[[#This Row],[Namn]],'ALLA ÅR'!E:E)</f>
        <v>0</v>
      </c>
      <c r="E159" s="12">
        <f>SUMIF('ALLA ÅR'!B:B,Tabell4[[#This Row],[Namn]],'ALLA ÅR'!F:F)</f>
        <v>0</v>
      </c>
      <c r="F159" s="12">
        <f>SUMIF('ALLA ÅR'!B:B,Tabell4[[#This Row],[Namn]],'ALLA ÅR'!G:G)</f>
        <v>1</v>
      </c>
      <c r="G159" s="12">
        <f>VLOOKUP(Tabell4[[#This Row],[Namn]],'ALLA ÅR'!B:J,9,0)</f>
        <v>2023</v>
      </c>
      <c r="H159" s="12">
        <f>COUNTIF('ALLA ÅR'!B:B,Tabell4[[#This Row],[Namn]])</f>
        <v>1</v>
      </c>
      <c r="I159" s="12">
        <f>VLOOKUP(Tabell4[[#This Row],[Namn]],'ALLA ÅR'!B:L,11,0)</f>
        <v>17</v>
      </c>
      <c r="J159" s="12">
        <f>RANK(Tabell4[[#This Row],[MÅL]],F:F)</f>
        <v>67</v>
      </c>
      <c r="K159" s="12">
        <f>RANK(Tabell4[[#This Row],[VAR]],D:D)</f>
        <v>54</v>
      </c>
      <c r="L159" s="12">
        <f>RANK(Tabell4[[#This Row],[MAT]],C:C)</f>
        <v>139</v>
      </c>
      <c r="M159" s="14">
        <f>Tabell4[[#This Row],[MAT]]/Tabell4[[#This Row],[ANTAL MATCHER]]</f>
        <v>0.18181818181818182</v>
      </c>
      <c r="N159" s="12">
        <f>SUMIF('ALLA ÅR'!B:B,Tabell4[[#This Row],[Namn]],'ALLA ÅR'!H:H)</f>
        <v>22</v>
      </c>
      <c r="O159" s="12">
        <f>(Tabell4[[#This Row],[UTV]]*2)+Tabell4[[#This Row],[VAR]]</f>
        <v>0</v>
      </c>
      <c r="P159" s="12">
        <f>COUNTIF('100%'!B:B,Tabell4[[#This Row],[Namn]])</f>
        <v>0</v>
      </c>
      <c r="Q159" s="12">
        <f>_xlfn.XLOOKUP(Tabell4[[#This Row],[Namn]],Blad3!A:A,Blad3!B:B)</f>
        <v>0</v>
      </c>
      <c r="R159" s="12">
        <f>_xlfn.XLOOKUP(Tabell4[[#This Row],[Namn]],Blad3!A:A,Blad3!C:C)</f>
        <v>4</v>
      </c>
      <c r="S159" s="12">
        <f>_xlfn.XLOOKUP(Tabell4[[#This Row],[Namn]],Blad3!A:A,Blad3!D:D)</f>
        <v>0</v>
      </c>
      <c r="T159" s="12">
        <f>_xlfn.XLOOKUP(Tabell4[[#This Row],[Namn]],Blad3!A:A,Blad3!E:E)</f>
        <v>0</v>
      </c>
      <c r="U159" s="12">
        <f>RANK(Tabell4[[#This Row],[SÄS]],Tabell4[SÄS])</f>
        <v>114</v>
      </c>
      <c r="V159" s="12">
        <f>_xlfn.XLOOKUP(Tabell4[[#This Row],[Namn]],Blad3!H:H,Blad3!I:I)</f>
        <v>0</v>
      </c>
      <c r="W159" s="12">
        <f>_xlfn.XLOOKUP(Tabell4[[#This Row],[Namn]],Blad3!H:H,Blad3!J:J)</f>
        <v>1</v>
      </c>
      <c r="X159" s="12">
        <f>_xlfn.XLOOKUP(Tabell4[[#This Row],[Namn]],Blad3!H:H,Blad3!K:K)</f>
        <v>0</v>
      </c>
      <c r="Y159" s="12">
        <f>_xlfn.XLOOKUP(Tabell4[[#This Row],[Namn]],Blad3!H:H,Blad3!L:L)</f>
        <v>0</v>
      </c>
    </row>
    <row r="160" spans="1:25" x14ac:dyDescent="0.25">
      <c r="A160" s="15">
        <f>Tabell4[[#This Row],[RANK MATCHER]]</f>
        <v>139</v>
      </c>
      <c r="B160" s="11" t="s">
        <v>115</v>
      </c>
      <c r="C160" s="12">
        <f>SUMIF('ALLA ÅR'!B:B,Tabell4[[#This Row],[Namn]],'ALLA ÅR'!C:C)</f>
        <v>4</v>
      </c>
      <c r="D160" s="12">
        <f>SUMIF('ALLA ÅR'!B:B,Tabell4[[#This Row],[Namn]],'ALLA ÅR'!E:E)</f>
        <v>0</v>
      </c>
      <c r="E160" s="12">
        <f>SUMIF('ALLA ÅR'!B:B,Tabell4[[#This Row],[Namn]],'ALLA ÅR'!F:F)</f>
        <v>0</v>
      </c>
      <c r="F160" s="12">
        <f>SUMIF('ALLA ÅR'!B:B,Tabell4[[#This Row],[Namn]],'ALLA ÅR'!G:G)</f>
        <v>0</v>
      </c>
      <c r="G160" s="12">
        <f>VLOOKUP(Tabell4[[#This Row],[Namn]],'ALLA ÅR'!B:J,9,0)</f>
        <v>2018</v>
      </c>
      <c r="H160" s="12">
        <f>COUNTIF('ALLA ÅR'!B:B,Tabell4[[#This Row],[Namn]])</f>
        <v>1</v>
      </c>
      <c r="I160" s="12">
        <f>VLOOKUP(Tabell4[[#This Row],[Namn]],'ALLA ÅR'!B:L,11,0)</f>
        <v>19</v>
      </c>
      <c r="J160" s="12">
        <f>RANK(Tabell4[[#This Row],[MÅL]],F:F)</f>
        <v>107</v>
      </c>
      <c r="K160" s="12">
        <f>RANK(Tabell4[[#This Row],[VAR]],D:D)</f>
        <v>54</v>
      </c>
      <c r="L160" s="12">
        <f>RANK(Tabell4[[#This Row],[MAT]],C:C)</f>
        <v>139</v>
      </c>
      <c r="M160" s="14">
        <f>Tabell4[[#This Row],[MAT]]/Tabell4[[#This Row],[ANTAL MATCHER]]</f>
        <v>0.22222222222222221</v>
      </c>
      <c r="N160" s="12">
        <f>SUMIF('ALLA ÅR'!B:B,Tabell4[[#This Row],[Namn]],'ALLA ÅR'!H:H)</f>
        <v>18</v>
      </c>
      <c r="O160" s="12">
        <f>(Tabell4[[#This Row],[UTV]]*2)+Tabell4[[#This Row],[VAR]]</f>
        <v>0</v>
      </c>
      <c r="P160" s="12">
        <f>COUNTIF('100%'!B:B,Tabell4[[#This Row],[Namn]])</f>
        <v>0</v>
      </c>
      <c r="Q160" s="12">
        <f>_xlfn.XLOOKUP(Tabell4[[#This Row],[Namn]],Blad3!A:A,Blad3!B:B)</f>
        <v>0</v>
      </c>
      <c r="R160" s="12">
        <f>_xlfn.XLOOKUP(Tabell4[[#This Row],[Namn]],Blad3!A:A,Blad3!C:C)</f>
        <v>4</v>
      </c>
      <c r="S160" s="12">
        <f>_xlfn.XLOOKUP(Tabell4[[#This Row],[Namn]],Blad3!A:A,Blad3!D:D)</f>
        <v>0</v>
      </c>
      <c r="T160" s="12">
        <f>_xlfn.XLOOKUP(Tabell4[[#This Row],[Namn]],Blad3!A:A,Blad3!E:E)</f>
        <v>0</v>
      </c>
      <c r="U160" s="12">
        <f>RANK(Tabell4[[#This Row],[SÄS]],Tabell4[SÄS])</f>
        <v>114</v>
      </c>
      <c r="V160" s="12">
        <f>_xlfn.XLOOKUP(Tabell4[[#This Row],[Namn]],Blad3!H:H,Blad3!I:I)</f>
        <v>0</v>
      </c>
      <c r="W160" s="12">
        <f>_xlfn.XLOOKUP(Tabell4[[#This Row],[Namn]],Blad3!H:H,Blad3!J:J)</f>
        <v>0</v>
      </c>
      <c r="X160" s="12">
        <f>_xlfn.XLOOKUP(Tabell4[[#This Row],[Namn]],Blad3!H:H,Blad3!K:K)</f>
        <v>0</v>
      </c>
      <c r="Y160" s="12">
        <f>_xlfn.XLOOKUP(Tabell4[[#This Row],[Namn]],Blad3!H:H,Blad3!L:L)</f>
        <v>0</v>
      </c>
    </row>
    <row r="161" spans="1:25" x14ac:dyDescent="0.25">
      <c r="A161" s="15">
        <f>Tabell4[[#This Row],[RANK MATCHER]]</f>
        <v>139</v>
      </c>
      <c r="B161" s="11" t="s">
        <v>116</v>
      </c>
      <c r="C161" s="12">
        <f>SUMIF('ALLA ÅR'!B:B,Tabell4[[#This Row],[Namn]],'ALLA ÅR'!C:C)</f>
        <v>4</v>
      </c>
      <c r="D161" s="12">
        <f>SUMIF('ALLA ÅR'!B:B,Tabell4[[#This Row],[Namn]],'ALLA ÅR'!E:E)</f>
        <v>0</v>
      </c>
      <c r="E161" s="12">
        <f>SUMIF('ALLA ÅR'!B:B,Tabell4[[#This Row],[Namn]],'ALLA ÅR'!F:F)</f>
        <v>0</v>
      </c>
      <c r="F161" s="12">
        <f>SUMIF('ALLA ÅR'!B:B,Tabell4[[#This Row],[Namn]],'ALLA ÅR'!G:G)</f>
        <v>0</v>
      </c>
      <c r="G161" s="12">
        <f>VLOOKUP(Tabell4[[#This Row],[Namn]],'ALLA ÅR'!B:J,9,0)</f>
        <v>2018</v>
      </c>
      <c r="H161" s="12">
        <f>COUNTIF('ALLA ÅR'!B:B,Tabell4[[#This Row],[Namn]])</f>
        <v>1</v>
      </c>
      <c r="I161" s="12">
        <f>VLOOKUP(Tabell4[[#This Row],[Namn]],'ALLA ÅR'!B:L,11,0)</f>
        <v>19</v>
      </c>
      <c r="J161" s="12">
        <f>RANK(Tabell4[[#This Row],[MÅL]],F:F)</f>
        <v>107</v>
      </c>
      <c r="K161" s="12">
        <f>RANK(Tabell4[[#This Row],[VAR]],D:D)</f>
        <v>54</v>
      </c>
      <c r="L161" s="12">
        <f>RANK(Tabell4[[#This Row],[MAT]],C:C)</f>
        <v>139</v>
      </c>
      <c r="M161" s="14">
        <f>Tabell4[[#This Row],[MAT]]/Tabell4[[#This Row],[ANTAL MATCHER]]</f>
        <v>0.22222222222222221</v>
      </c>
      <c r="N161" s="12">
        <f>SUMIF('ALLA ÅR'!B:B,Tabell4[[#This Row],[Namn]],'ALLA ÅR'!H:H)</f>
        <v>18</v>
      </c>
      <c r="O161" s="12">
        <f>(Tabell4[[#This Row],[UTV]]*2)+Tabell4[[#This Row],[VAR]]</f>
        <v>0</v>
      </c>
      <c r="P161" s="12">
        <f>COUNTIF('100%'!B:B,Tabell4[[#This Row],[Namn]])</f>
        <v>0</v>
      </c>
      <c r="Q161" s="12">
        <f>_xlfn.XLOOKUP(Tabell4[[#This Row],[Namn]],Blad3!A:A,Blad3!B:B)</f>
        <v>0</v>
      </c>
      <c r="R161" s="12">
        <f>_xlfn.XLOOKUP(Tabell4[[#This Row],[Namn]],Blad3!A:A,Blad3!C:C)</f>
        <v>4</v>
      </c>
      <c r="S161" s="12">
        <f>_xlfn.XLOOKUP(Tabell4[[#This Row],[Namn]],Blad3!A:A,Blad3!D:D)</f>
        <v>0</v>
      </c>
      <c r="T161" s="12">
        <f>_xlfn.XLOOKUP(Tabell4[[#This Row],[Namn]],Blad3!A:A,Blad3!E:E)</f>
        <v>0</v>
      </c>
      <c r="U161" s="12">
        <f>RANK(Tabell4[[#This Row],[SÄS]],Tabell4[SÄS])</f>
        <v>114</v>
      </c>
      <c r="V161" s="12">
        <f>_xlfn.XLOOKUP(Tabell4[[#This Row],[Namn]],Blad3!H:H,Blad3!I:I)</f>
        <v>0</v>
      </c>
      <c r="W161" s="12">
        <f>_xlfn.XLOOKUP(Tabell4[[#This Row],[Namn]],Blad3!H:H,Blad3!J:J)</f>
        <v>0</v>
      </c>
      <c r="X161" s="12">
        <f>_xlfn.XLOOKUP(Tabell4[[#This Row],[Namn]],Blad3!H:H,Blad3!K:K)</f>
        <v>0</v>
      </c>
      <c r="Y161" s="12">
        <f>_xlfn.XLOOKUP(Tabell4[[#This Row],[Namn]],Blad3!H:H,Blad3!L:L)</f>
        <v>0</v>
      </c>
    </row>
    <row r="162" spans="1:25" x14ac:dyDescent="0.25">
      <c r="A162" s="15">
        <f>Tabell4[[#This Row],[RANK MATCHER]]</f>
        <v>139</v>
      </c>
      <c r="B162" s="11" t="s">
        <v>126</v>
      </c>
      <c r="C162" s="12">
        <f>SUMIF('ALLA ÅR'!B:B,Tabell4[[#This Row],[Namn]],'ALLA ÅR'!C:C)</f>
        <v>4</v>
      </c>
      <c r="D162" s="12">
        <f>SUMIF('ALLA ÅR'!B:B,Tabell4[[#This Row],[Namn]],'ALLA ÅR'!E:E)</f>
        <v>0</v>
      </c>
      <c r="E162" s="12">
        <f>SUMIF('ALLA ÅR'!B:B,Tabell4[[#This Row],[Namn]],'ALLA ÅR'!F:F)</f>
        <v>0</v>
      </c>
      <c r="F162" s="12">
        <f>SUMIF('ALLA ÅR'!B:B,Tabell4[[#This Row],[Namn]],'ALLA ÅR'!G:G)</f>
        <v>0</v>
      </c>
      <c r="G162" s="12">
        <f>VLOOKUP(Tabell4[[#This Row],[Namn]],'ALLA ÅR'!B:J,9,0)</f>
        <v>2017</v>
      </c>
      <c r="H162" s="12">
        <f>COUNTIF('ALLA ÅR'!B:B,Tabell4[[#This Row],[Namn]])</f>
        <v>1</v>
      </c>
      <c r="I162" s="12">
        <f>VLOOKUP(Tabell4[[#This Row],[Namn]],'ALLA ÅR'!B:L,11,0)</f>
        <v>19</v>
      </c>
      <c r="J162" s="12">
        <f>RANK(Tabell4[[#This Row],[MÅL]],F:F)</f>
        <v>107</v>
      </c>
      <c r="K162" s="12">
        <f>RANK(Tabell4[[#This Row],[VAR]],D:D)</f>
        <v>54</v>
      </c>
      <c r="L162" s="12">
        <f>RANK(Tabell4[[#This Row],[MAT]],C:C)</f>
        <v>139</v>
      </c>
      <c r="M162" s="14">
        <f>Tabell4[[#This Row],[MAT]]/Tabell4[[#This Row],[ANTAL MATCHER]]</f>
        <v>0.25</v>
      </c>
      <c r="N162" s="12">
        <f>SUMIF('ALLA ÅR'!B:B,Tabell4[[#This Row],[Namn]],'ALLA ÅR'!H:H)</f>
        <v>16</v>
      </c>
      <c r="O162" s="12">
        <f>(Tabell4[[#This Row],[UTV]]*2)+Tabell4[[#This Row],[VAR]]</f>
        <v>0</v>
      </c>
      <c r="P162" s="12">
        <f>COUNTIF('100%'!B:B,Tabell4[[#This Row],[Namn]])</f>
        <v>0</v>
      </c>
      <c r="Q162" s="12">
        <f>_xlfn.XLOOKUP(Tabell4[[#This Row],[Namn]],Blad3!A:A,Blad3!B:B)</f>
        <v>0</v>
      </c>
      <c r="R162" s="12">
        <f>_xlfn.XLOOKUP(Tabell4[[#This Row],[Namn]],Blad3!A:A,Blad3!C:C)</f>
        <v>0</v>
      </c>
      <c r="S162" s="12">
        <f>_xlfn.XLOOKUP(Tabell4[[#This Row],[Namn]],Blad3!A:A,Blad3!D:D)</f>
        <v>4</v>
      </c>
      <c r="T162" s="12">
        <f>_xlfn.XLOOKUP(Tabell4[[#This Row],[Namn]],Blad3!A:A,Blad3!E:E)</f>
        <v>0</v>
      </c>
      <c r="U162" s="12">
        <f>RANK(Tabell4[[#This Row],[SÄS]],Tabell4[SÄS])</f>
        <v>114</v>
      </c>
      <c r="V162" s="12">
        <f>_xlfn.XLOOKUP(Tabell4[[#This Row],[Namn]],Blad3!H:H,Blad3!I:I)</f>
        <v>0</v>
      </c>
      <c r="W162" s="12">
        <f>_xlfn.XLOOKUP(Tabell4[[#This Row],[Namn]],Blad3!H:H,Blad3!J:J)</f>
        <v>0</v>
      </c>
      <c r="X162" s="12">
        <f>_xlfn.XLOOKUP(Tabell4[[#This Row],[Namn]],Blad3!H:H,Blad3!K:K)</f>
        <v>0</v>
      </c>
      <c r="Y162" s="12">
        <f>_xlfn.XLOOKUP(Tabell4[[#This Row],[Namn]],Blad3!H:H,Blad3!L:L)</f>
        <v>0</v>
      </c>
    </row>
    <row r="163" spans="1:25" x14ac:dyDescent="0.25">
      <c r="A163" s="15">
        <f>Tabell4[[#This Row],[RANK MATCHER]]</f>
        <v>139</v>
      </c>
      <c r="B163" s="11" t="s">
        <v>142</v>
      </c>
      <c r="C163" s="12">
        <f>SUMIF('ALLA ÅR'!B:B,Tabell4[[#This Row],[Namn]],'ALLA ÅR'!C:C)</f>
        <v>4</v>
      </c>
      <c r="D163" s="12">
        <f>SUMIF('ALLA ÅR'!B:B,Tabell4[[#This Row],[Namn]],'ALLA ÅR'!E:E)</f>
        <v>0</v>
      </c>
      <c r="E163" s="12">
        <f>SUMIF('ALLA ÅR'!B:B,Tabell4[[#This Row],[Namn]],'ALLA ÅR'!F:F)</f>
        <v>0</v>
      </c>
      <c r="F163" s="12">
        <f>SUMIF('ALLA ÅR'!B:B,Tabell4[[#This Row],[Namn]],'ALLA ÅR'!G:G)</f>
        <v>0</v>
      </c>
      <c r="G163" s="12">
        <f>VLOOKUP(Tabell4[[#This Row],[Namn]],'ALLA ÅR'!B:J,9,0)</f>
        <v>2016</v>
      </c>
      <c r="H163" s="12">
        <f>COUNTIF('ALLA ÅR'!B:B,Tabell4[[#This Row],[Namn]])</f>
        <v>1</v>
      </c>
      <c r="I163" s="12">
        <f>VLOOKUP(Tabell4[[#This Row],[Namn]],'ALLA ÅR'!B:L,11,0)</f>
        <v>17</v>
      </c>
      <c r="J163" s="12">
        <f>RANK(Tabell4[[#This Row],[MÅL]],F:F)</f>
        <v>107</v>
      </c>
      <c r="K163" s="12">
        <f>RANK(Tabell4[[#This Row],[VAR]],D:D)</f>
        <v>54</v>
      </c>
      <c r="L163" s="12">
        <f>RANK(Tabell4[[#This Row],[MAT]],C:C)</f>
        <v>139</v>
      </c>
      <c r="M163" s="14">
        <f>Tabell4[[#This Row],[MAT]]/Tabell4[[#This Row],[ANTAL MATCHER]]</f>
        <v>0.25</v>
      </c>
      <c r="N163" s="12">
        <f>SUMIF('ALLA ÅR'!B:B,Tabell4[[#This Row],[Namn]],'ALLA ÅR'!H:H)</f>
        <v>16</v>
      </c>
      <c r="O163" s="12">
        <f>(Tabell4[[#This Row],[UTV]]*2)+Tabell4[[#This Row],[VAR]]</f>
        <v>0</v>
      </c>
      <c r="P163" s="12">
        <f>COUNTIF('100%'!B:B,Tabell4[[#This Row],[Namn]])</f>
        <v>0</v>
      </c>
      <c r="Q163" s="12">
        <f>_xlfn.XLOOKUP(Tabell4[[#This Row],[Namn]],Blad3!A:A,Blad3!B:B)</f>
        <v>0</v>
      </c>
      <c r="R163" s="12">
        <f>_xlfn.XLOOKUP(Tabell4[[#This Row],[Namn]],Blad3!A:A,Blad3!C:C)</f>
        <v>0</v>
      </c>
      <c r="S163" s="12">
        <f>_xlfn.XLOOKUP(Tabell4[[#This Row],[Namn]],Blad3!A:A,Blad3!D:D)</f>
        <v>0</v>
      </c>
      <c r="T163" s="12">
        <f>_xlfn.XLOOKUP(Tabell4[[#This Row],[Namn]],Blad3!A:A,Blad3!E:E)</f>
        <v>4</v>
      </c>
      <c r="U163" s="12">
        <f>RANK(Tabell4[[#This Row],[SÄS]],Tabell4[SÄS])</f>
        <v>114</v>
      </c>
      <c r="V163" s="12">
        <f>_xlfn.XLOOKUP(Tabell4[[#This Row],[Namn]],Blad3!H:H,Blad3!I:I)</f>
        <v>0</v>
      </c>
      <c r="W163" s="12">
        <f>_xlfn.XLOOKUP(Tabell4[[#This Row],[Namn]],Blad3!H:H,Blad3!J:J)</f>
        <v>0</v>
      </c>
      <c r="X163" s="12">
        <f>_xlfn.XLOOKUP(Tabell4[[#This Row],[Namn]],Blad3!H:H,Blad3!K:K)</f>
        <v>0</v>
      </c>
      <c r="Y163" s="12">
        <f>_xlfn.XLOOKUP(Tabell4[[#This Row],[Namn]],Blad3!H:H,Blad3!L:L)</f>
        <v>0</v>
      </c>
    </row>
    <row r="164" spans="1:25" x14ac:dyDescent="0.25">
      <c r="A164" s="15">
        <f>Tabell4[[#This Row],[RANK MATCHER]]</f>
        <v>139</v>
      </c>
      <c r="B164" s="11" t="s">
        <v>159</v>
      </c>
      <c r="C164" s="12">
        <f>SUMIF('ALLA ÅR'!B:B,Tabell4[[#This Row],[Namn]],'ALLA ÅR'!C:C)</f>
        <v>4</v>
      </c>
      <c r="D164" s="12">
        <f>SUMIF('ALLA ÅR'!B:B,Tabell4[[#This Row],[Namn]],'ALLA ÅR'!E:E)</f>
        <v>0</v>
      </c>
      <c r="E164" s="12">
        <f>SUMIF('ALLA ÅR'!B:B,Tabell4[[#This Row],[Namn]],'ALLA ÅR'!F:F)</f>
        <v>0</v>
      </c>
      <c r="F164" s="12">
        <f>SUMIF('ALLA ÅR'!B:B,Tabell4[[#This Row],[Namn]],'ALLA ÅR'!G:G)</f>
        <v>1</v>
      </c>
      <c r="G164" s="12">
        <f>VLOOKUP(Tabell4[[#This Row],[Namn]],'ALLA ÅR'!B:J,9,0)</f>
        <v>2015</v>
      </c>
      <c r="H164" s="12">
        <f>COUNTIF('ALLA ÅR'!B:B,Tabell4[[#This Row],[Namn]])</f>
        <v>1</v>
      </c>
      <c r="I164" s="12">
        <f>VLOOKUP(Tabell4[[#This Row],[Namn]],'ALLA ÅR'!B:L,11,0)</f>
        <v>14</v>
      </c>
      <c r="J164" s="12">
        <f>RANK(Tabell4[[#This Row],[MÅL]],F:F)</f>
        <v>67</v>
      </c>
      <c r="K164" s="12">
        <f>RANK(Tabell4[[#This Row],[VAR]],D:D)</f>
        <v>54</v>
      </c>
      <c r="L164" s="12">
        <f>RANK(Tabell4[[#This Row],[MAT]],C:C)</f>
        <v>139</v>
      </c>
      <c r="M164" s="14">
        <f>Tabell4[[#This Row],[MAT]]/Tabell4[[#This Row],[ANTAL MATCHER]]</f>
        <v>0.17391304347826086</v>
      </c>
      <c r="N164" s="12">
        <f>SUMIF('ALLA ÅR'!B:B,Tabell4[[#This Row],[Namn]],'ALLA ÅR'!H:H)</f>
        <v>23</v>
      </c>
      <c r="O164" s="12">
        <f>(Tabell4[[#This Row],[UTV]]*2)+Tabell4[[#This Row],[VAR]]</f>
        <v>0</v>
      </c>
      <c r="P164" s="12">
        <f>COUNTIF('100%'!B:B,Tabell4[[#This Row],[Namn]])</f>
        <v>0</v>
      </c>
      <c r="Q164" s="12">
        <f>_xlfn.XLOOKUP(Tabell4[[#This Row],[Namn]],Blad3!A:A,Blad3!B:B)</f>
        <v>0</v>
      </c>
      <c r="R164" s="12">
        <f>_xlfn.XLOOKUP(Tabell4[[#This Row],[Namn]],Blad3!A:A,Blad3!C:C)</f>
        <v>0</v>
      </c>
      <c r="S164" s="12">
        <f>_xlfn.XLOOKUP(Tabell4[[#This Row],[Namn]],Blad3!A:A,Blad3!D:D)</f>
        <v>0</v>
      </c>
      <c r="T164" s="12">
        <f>_xlfn.XLOOKUP(Tabell4[[#This Row],[Namn]],Blad3!A:A,Blad3!E:E)</f>
        <v>4</v>
      </c>
      <c r="U164" s="12">
        <f>RANK(Tabell4[[#This Row],[SÄS]],Tabell4[SÄS])</f>
        <v>114</v>
      </c>
      <c r="V164" s="12">
        <f>_xlfn.XLOOKUP(Tabell4[[#This Row],[Namn]],Blad3!H:H,Blad3!I:I)</f>
        <v>0</v>
      </c>
      <c r="W164" s="12">
        <f>_xlfn.XLOOKUP(Tabell4[[#This Row],[Namn]],Blad3!H:H,Blad3!J:J)</f>
        <v>0</v>
      </c>
      <c r="X164" s="12">
        <f>_xlfn.XLOOKUP(Tabell4[[#This Row],[Namn]],Blad3!H:H,Blad3!K:K)</f>
        <v>0</v>
      </c>
      <c r="Y164" s="12">
        <f>_xlfn.XLOOKUP(Tabell4[[#This Row],[Namn]],Blad3!H:H,Blad3!L:L)</f>
        <v>1</v>
      </c>
    </row>
    <row r="165" spans="1:25" x14ac:dyDescent="0.25">
      <c r="A165" s="15">
        <f>Tabell4[[#This Row],[RANK MATCHER]]</f>
        <v>139</v>
      </c>
      <c r="B165" s="11" t="s">
        <v>160</v>
      </c>
      <c r="C165" s="12">
        <f>SUMIF('ALLA ÅR'!B:B,Tabell4[[#This Row],[Namn]],'ALLA ÅR'!C:C)</f>
        <v>4</v>
      </c>
      <c r="D165" s="12">
        <f>SUMIF('ALLA ÅR'!B:B,Tabell4[[#This Row],[Namn]],'ALLA ÅR'!E:E)</f>
        <v>0</v>
      </c>
      <c r="E165" s="12">
        <f>SUMIF('ALLA ÅR'!B:B,Tabell4[[#This Row],[Namn]],'ALLA ÅR'!F:F)</f>
        <v>0</v>
      </c>
      <c r="F165" s="12">
        <f>SUMIF('ALLA ÅR'!B:B,Tabell4[[#This Row],[Namn]],'ALLA ÅR'!G:G)</f>
        <v>0</v>
      </c>
      <c r="G165" s="12">
        <f>VLOOKUP(Tabell4[[#This Row],[Namn]],'ALLA ÅR'!B:J,9,0)</f>
        <v>2015</v>
      </c>
      <c r="H165" s="12">
        <f>COUNTIF('ALLA ÅR'!B:B,Tabell4[[#This Row],[Namn]])</f>
        <v>1</v>
      </c>
      <c r="I165" s="12">
        <f>VLOOKUP(Tabell4[[#This Row],[Namn]],'ALLA ÅR'!B:L,11,0)</f>
        <v>15</v>
      </c>
      <c r="J165" s="12">
        <f>RANK(Tabell4[[#This Row],[MÅL]],F:F)</f>
        <v>107</v>
      </c>
      <c r="K165" s="12">
        <f>RANK(Tabell4[[#This Row],[VAR]],D:D)</f>
        <v>54</v>
      </c>
      <c r="L165" s="12">
        <f>RANK(Tabell4[[#This Row],[MAT]],C:C)</f>
        <v>139</v>
      </c>
      <c r="M165" s="14">
        <f>Tabell4[[#This Row],[MAT]]/Tabell4[[#This Row],[ANTAL MATCHER]]</f>
        <v>0.17391304347826086</v>
      </c>
      <c r="N165" s="12">
        <f>SUMIF('ALLA ÅR'!B:B,Tabell4[[#This Row],[Namn]],'ALLA ÅR'!H:H)</f>
        <v>23</v>
      </c>
      <c r="O165" s="12">
        <f>(Tabell4[[#This Row],[UTV]]*2)+Tabell4[[#This Row],[VAR]]</f>
        <v>0</v>
      </c>
      <c r="P165" s="12">
        <f>COUNTIF('100%'!B:B,Tabell4[[#This Row],[Namn]])</f>
        <v>0</v>
      </c>
      <c r="Q165" s="12">
        <f>_xlfn.XLOOKUP(Tabell4[[#This Row],[Namn]],Blad3!A:A,Blad3!B:B)</f>
        <v>0</v>
      </c>
      <c r="R165" s="12">
        <f>_xlfn.XLOOKUP(Tabell4[[#This Row],[Namn]],Blad3!A:A,Blad3!C:C)</f>
        <v>0</v>
      </c>
      <c r="S165" s="12">
        <f>_xlfn.XLOOKUP(Tabell4[[#This Row],[Namn]],Blad3!A:A,Blad3!D:D)</f>
        <v>0</v>
      </c>
      <c r="T165" s="12">
        <f>_xlfn.XLOOKUP(Tabell4[[#This Row],[Namn]],Blad3!A:A,Blad3!E:E)</f>
        <v>4</v>
      </c>
      <c r="U165" s="12">
        <f>RANK(Tabell4[[#This Row],[SÄS]],Tabell4[SÄS])</f>
        <v>114</v>
      </c>
      <c r="V165" s="12">
        <f>_xlfn.XLOOKUP(Tabell4[[#This Row],[Namn]],Blad3!H:H,Blad3!I:I)</f>
        <v>0</v>
      </c>
      <c r="W165" s="12">
        <f>_xlfn.XLOOKUP(Tabell4[[#This Row],[Namn]],Blad3!H:H,Blad3!J:J)</f>
        <v>0</v>
      </c>
      <c r="X165" s="12">
        <f>_xlfn.XLOOKUP(Tabell4[[#This Row],[Namn]],Blad3!H:H,Blad3!K:K)</f>
        <v>0</v>
      </c>
      <c r="Y165" s="12">
        <f>_xlfn.XLOOKUP(Tabell4[[#This Row],[Namn]],Blad3!H:H,Blad3!L:L)</f>
        <v>0</v>
      </c>
    </row>
    <row r="166" spans="1:25" x14ac:dyDescent="0.25">
      <c r="A166" s="15">
        <f>Tabell4[[#This Row],[RANK MATCHER]]</f>
        <v>139</v>
      </c>
      <c r="B166" s="11" t="s">
        <v>198</v>
      </c>
      <c r="C166" s="12">
        <f>SUMIF('ALLA ÅR'!B:B,Tabell4[[#This Row],[Namn]],'ALLA ÅR'!C:C)</f>
        <v>4</v>
      </c>
      <c r="D166" s="12">
        <f>SUMIF('ALLA ÅR'!B:B,Tabell4[[#This Row],[Namn]],'ALLA ÅR'!E:E)</f>
        <v>0</v>
      </c>
      <c r="E166" s="12">
        <f>SUMIF('ALLA ÅR'!B:B,Tabell4[[#This Row],[Namn]],'ALLA ÅR'!F:F)</f>
        <v>0</v>
      </c>
      <c r="F166" s="12">
        <f>SUMIF('ALLA ÅR'!B:B,Tabell4[[#This Row],[Namn]],'ALLA ÅR'!G:G)</f>
        <v>0</v>
      </c>
      <c r="G166" s="12">
        <f>VLOOKUP(Tabell4[[#This Row],[Namn]],'ALLA ÅR'!B:J,9,0)</f>
        <v>2011</v>
      </c>
      <c r="H166" s="12">
        <f>COUNTIF('ALLA ÅR'!B:B,Tabell4[[#This Row],[Namn]])</f>
        <v>1</v>
      </c>
      <c r="I166" s="12">
        <f>VLOOKUP(Tabell4[[#This Row],[Namn]],'ALLA ÅR'!B:L,11,0)</f>
        <v>20</v>
      </c>
      <c r="J166" s="12">
        <f>RANK(Tabell4[[#This Row],[MÅL]],F:F)</f>
        <v>107</v>
      </c>
      <c r="K166" s="12">
        <f>RANK(Tabell4[[#This Row],[VAR]],D:D)</f>
        <v>54</v>
      </c>
      <c r="L166" s="12">
        <f>RANK(Tabell4[[#This Row],[MAT]],C:C)</f>
        <v>139</v>
      </c>
      <c r="M166" s="14">
        <f>Tabell4[[#This Row],[MAT]]/Tabell4[[#This Row],[ANTAL MATCHER]]</f>
        <v>0.16666666666666666</v>
      </c>
      <c r="N166" s="12">
        <f>SUMIF('ALLA ÅR'!B:B,Tabell4[[#This Row],[Namn]],'ALLA ÅR'!H:H)</f>
        <v>24</v>
      </c>
      <c r="O166" s="12">
        <f>(Tabell4[[#This Row],[UTV]]*2)+Tabell4[[#This Row],[VAR]]</f>
        <v>0</v>
      </c>
      <c r="P166" s="12">
        <f>COUNTIF('100%'!B:B,Tabell4[[#This Row],[Namn]])</f>
        <v>0</v>
      </c>
      <c r="Q166" s="12">
        <f>_xlfn.XLOOKUP(Tabell4[[#This Row],[Namn]],Blad3!A:A,Blad3!B:B)</f>
        <v>0</v>
      </c>
      <c r="R166" s="12">
        <f>_xlfn.XLOOKUP(Tabell4[[#This Row],[Namn]],Blad3!A:A,Blad3!C:C)</f>
        <v>0</v>
      </c>
      <c r="S166" s="12">
        <f>_xlfn.XLOOKUP(Tabell4[[#This Row],[Namn]],Blad3!A:A,Blad3!D:D)</f>
        <v>4</v>
      </c>
      <c r="T166" s="12">
        <f>_xlfn.XLOOKUP(Tabell4[[#This Row],[Namn]],Blad3!A:A,Blad3!E:E)</f>
        <v>0</v>
      </c>
      <c r="U166" s="12">
        <f>RANK(Tabell4[[#This Row],[SÄS]],Tabell4[SÄS])</f>
        <v>114</v>
      </c>
      <c r="V166" s="12">
        <f>_xlfn.XLOOKUP(Tabell4[[#This Row],[Namn]],Blad3!H:H,Blad3!I:I)</f>
        <v>0</v>
      </c>
      <c r="W166" s="12">
        <f>_xlfn.XLOOKUP(Tabell4[[#This Row],[Namn]],Blad3!H:H,Blad3!J:J)</f>
        <v>0</v>
      </c>
      <c r="X166" s="12">
        <f>_xlfn.XLOOKUP(Tabell4[[#This Row],[Namn]],Blad3!H:H,Blad3!K:K)</f>
        <v>0</v>
      </c>
      <c r="Y166" s="12">
        <f>_xlfn.XLOOKUP(Tabell4[[#This Row],[Namn]],Blad3!H:H,Blad3!L:L)</f>
        <v>0</v>
      </c>
    </row>
    <row r="167" spans="1:25" x14ac:dyDescent="0.25">
      <c r="A167" s="15">
        <f>Tabell4[[#This Row],[RANK MATCHER]]</f>
        <v>139</v>
      </c>
      <c r="B167" s="11" t="s">
        <v>205</v>
      </c>
      <c r="C167" s="12">
        <f>SUMIF('ALLA ÅR'!B:B,Tabell4[[#This Row],[Namn]],'ALLA ÅR'!C:C)</f>
        <v>4</v>
      </c>
      <c r="D167" s="12">
        <f>SUMIF('ALLA ÅR'!B:B,Tabell4[[#This Row],[Namn]],'ALLA ÅR'!E:E)</f>
        <v>1</v>
      </c>
      <c r="E167" s="12">
        <f>SUMIF('ALLA ÅR'!B:B,Tabell4[[#This Row],[Namn]],'ALLA ÅR'!F:F)</f>
        <v>0</v>
      </c>
      <c r="F167" s="12">
        <f>SUMIF('ALLA ÅR'!B:B,Tabell4[[#This Row],[Namn]],'ALLA ÅR'!G:G)</f>
        <v>3</v>
      </c>
      <c r="G167" s="12">
        <f>VLOOKUP(Tabell4[[#This Row],[Namn]],'ALLA ÅR'!B:J,9,0)</f>
        <v>2010</v>
      </c>
      <c r="H167" s="12">
        <f>COUNTIF('ALLA ÅR'!B:B,Tabell4[[#This Row],[Namn]])</f>
        <v>1</v>
      </c>
      <c r="I167" s="12">
        <f>VLOOKUP(Tabell4[[#This Row],[Namn]],'ALLA ÅR'!B:L,11,0)</f>
        <v>21</v>
      </c>
      <c r="J167" s="12">
        <f>RANK(Tabell4[[#This Row],[MÅL]],F:F)</f>
        <v>49</v>
      </c>
      <c r="K167" s="12">
        <f>RANK(Tabell4[[#This Row],[VAR]],D:D)</f>
        <v>27</v>
      </c>
      <c r="L167" s="12">
        <f>RANK(Tabell4[[#This Row],[MAT]],C:C)</f>
        <v>139</v>
      </c>
      <c r="M167" s="14">
        <f>Tabell4[[#This Row],[MAT]]/Tabell4[[#This Row],[ANTAL MATCHER]]</f>
        <v>0.18181818181818182</v>
      </c>
      <c r="N167" s="12">
        <f>SUMIF('ALLA ÅR'!B:B,Tabell4[[#This Row],[Namn]],'ALLA ÅR'!H:H)</f>
        <v>22</v>
      </c>
      <c r="O167" s="12">
        <f>(Tabell4[[#This Row],[UTV]]*2)+Tabell4[[#This Row],[VAR]]</f>
        <v>1</v>
      </c>
      <c r="P167" s="12">
        <f>COUNTIF('100%'!B:B,Tabell4[[#This Row],[Namn]])</f>
        <v>0</v>
      </c>
      <c r="Q167" s="12">
        <f>_xlfn.XLOOKUP(Tabell4[[#This Row],[Namn]],Blad3!A:A,Blad3!B:B)</f>
        <v>0</v>
      </c>
      <c r="R167" s="12">
        <f>_xlfn.XLOOKUP(Tabell4[[#This Row],[Namn]],Blad3!A:A,Blad3!C:C)</f>
        <v>0</v>
      </c>
      <c r="S167" s="12">
        <f>_xlfn.XLOOKUP(Tabell4[[#This Row],[Namn]],Blad3!A:A,Blad3!D:D)</f>
        <v>4</v>
      </c>
      <c r="T167" s="12">
        <f>_xlfn.XLOOKUP(Tabell4[[#This Row],[Namn]],Blad3!A:A,Blad3!E:E)</f>
        <v>0</v>
      </c>
      <c r="U167" s="12">
        <f>RANK(Tabell4[[#This Row],[SÄS]],Tabell4[SÄS])</f>
        <v>114</v>
      </c>
      <c r="V167" s="12">
        <f>_xlfn.XLOOKUP(Tabell4[[#This Row],[Namn]],Blad3!H:H,Blad3!I:I)</f>
        <v>0</v>
      </c>
      <c r="W167" s="12">
        <f>_xlfn.XLOOKUP(Tabell4[[#This Row],[Namn]],Blad3!H:H,Blad3!J:J)</f>
        <v>0</v>
      </c>
      <c r="X167" s="12">
        <f>_xlfn.XLOOKUP(Tabell4[[#This Row],[Namn]],Blad3!H:H,Blad3!K:K)</f>
        <v>3</v>
      </c>
      <c r="Y167" s="12">
        <f>_xlfn.XLOOKUP(Tabell4[[#This Row],[Namn]],Blad3!H:H,Blad3!L:L)</f>
        <v>0</v>
      </c>
    </row>
    <row r="168" spans="1:25" x14ac:dyDescent="0.25">
      <c r="A168" s="15">
        <f>Tabell4[[#This Row],[RANK MATCHER]]</f>
        <v>139</v>
      </c>
      <c r="B168" s="11" t="s">
        <v>206</v>
      </c>
      <c r="C168" s="12">
        <f>SUMIF('ALLA ÅR'!B:B,Tabell4[[#This Row],[Namn]],'ALLA ÅR'!C:C)</f>
        <v>4</v>
      </c>
      <c r="D168" s="12">
        <f>SUMIF('ALLA ÅR'!B:B,Tabell4[[#This Row],[Namn]],'ALLA ÅR'!E:E)</f>
        <v>0</v>
      </c>
      <c r="E168" s="12">
        <f>SUMIF('ALLA ÅR'!B:B,Tabell4[[#This Row],[Namn]],'ALLA ÅR'!F:F)</f>
        <v>0</v>
      </c>
      <c r="F168" s="12">
        <f>SUMIF('ALLA ÅR'!B:B,Tabell4[[#This Row],[Namn]],'ALLA ÅR'!G:G)</f>
        <v>1</v>
      </c>
      <c r="G168" s="12">
        <f>VLOOKUP(Tabell4[[#This Row],[Namn]],'ALLA ÅR'!B:J,9,0)</f>
        <v>2010</v>
      </c>
      <c r="H168" s="12">
        <f>COUNTIF('ALLA ÅR'!B:B,Tabell4[[#This Row],[Namn]])</f>
        <v>1</v>
      </c>
      <c r="I168" s="12">
        <f>VLOOKUP(Tabell4[[#This Row],[Namn]],'ALLA ÅR'!B:L,11,0)</f>
        <v>20</v>
      </c>
      <c r="J168" s="12">
        <f>RANK(Tabell4[[#This Row],[MÅL]],F:F)</f>
        <v>67</v>
      </c>
      <c r="K168" s="12">
        <f>RANK(Tabell4[[#This Row],[VAR]],D:D)</f>
        <v>54</v>
      </c>
      <c r="L168" s="12">
        <f>RANK(Tabell4[[#This Row],[MAT]],C:C)</f>
        <v>139</v>
      </c>
      <c r="M168" s="14">
        <f>Tabell4[[#This Row],[MAT]]/Tabell4[[#This Row],[ANTAL MATCHER]]</f>
        <v>0.18181818181818182</v>
      </c>
      <c r="N168" s="12">
        <f>SUMIF('ALLA ÅR'!B:B,Tabell4[[#This Row],[Namn]],'ALLA ÅR'!H:H)</f>
        <v>22</v>
      </c>
      <c r="O168" s="12">
        <f>(Tabell4[[#This Row],[UTV]]*2)+Tabell4[[#This Row],[VAR]]</f>
        <v>0</v>
      </c>
      <c r="P168" s="12">
        <f>COUNTIF('100%'!B:B,Tabell4[[#This Row],[Namn]])</f>
        <v>0</v>
      </c>
      <c r="Q168" s="12">
        <f>_xlfn.XLOOKUP(Tabell4[[#This Row],[Namn]],Blad3!A:A,Blad3!B:B)</f>
        <v>0</v>
      </c>
      <c r="R168" s="12">
        <f>_xlfn.XLOOKUP(Tabell4[[#This Row],[Namn]],Blad3!A:A,Blad3!C:C)</f>
        <v>0</v>
      </c>
      <c r="S168" s="12">
        <f>_xlfn.XLOOKUP(Tabell4[[#This Row],[Namn]],Blad3!A:A,Blad3!D:D)</f>
        <v>4</v>
      </c>
      <c r="T168" s="12">
        <f>_xlfn.XLOOKUP(Tabell4[[#This Row],[Namn]],Blad3!A:A,Blad3!E:E)</f>
        <v>0</v>
      </c>
      <c r="U168" s="12">
        <f>RANK(Tabell4[[#This Row],[SÄS]],Tabell4[SÄS])</f>
        <v>114</v>
      </c>
      <c r="V168" s="12">
        <f>_xlfn.XLOOKUP(Tabell4[[#This Row],[Namn]],Blad3!H:H,Blad3!I:I)</f>
        <v>0</v>
      </c>
      <c r="W168" s="12">
        <f>_xlfn.XLOOKUP(Tabell4[[#This Row],[Namn]],Blad3!H:H,Blad3!J:J)</f>
        <v>0</v>
      </c>
      <c r="X168" s="12">
        <f>_xlfn.XLOOKUP(Tabell4[[#This Row],[Namn]],Blad3!H:H,Blad3!K:K)</f>
        <v>1</v>
      </c>
      <c r="Y168" s="12">
        <f>_xlfn.XLOOKUP(Tabell4[[#This Row],[Namn]],Blad3!H:H,Blad3!L:L)</f>
        <v>0</v>
      </c>
    </row>
    <row r="169" spans="1:25" x14ac:dyDescent="0.25">
      <c r="A169" s="15">
        <f>Tabell4[[#This Row],[RANK MATCHER]]</f>
        <v>139</v>
      </c>
      <c r="B169" s="11" t="s">
        <v>207</v>
      </c>
      <c r="C169" s="12">
        <f>SUMIF('ALLA ÅR'!B:B,Tabell4[[#This Row],[Namn]],'ALLA ÅR'!C:C)</f>
        <v>4</v>
      </c>
      <c r="D169" s="12">
        <f>SUMIF('ALLA ÅR'!B:B,Tabell4[[#This Row],[Namn]],'ALLA ÅR'!E:E)</f>
        <v>0</v>
      </c>
      <c r="E169" s="12">
        <f>SUMIF('ALLA ÅR'!B:B,Tabell4[[#This Row],[Namn]],'ALLA ÅR'!F:F)</f>
        <v>0</v>
      </c>
      <c r="F169" s="12">
        <f>SUMIF('ALLA ÅR'!B:B,Tabell4[[#This Row],[Namn]],'ALLA ÅR'!G:G)</f>
        <v>0</v>
      </c>
      <c r="G169" s="12">
        <f>VLOOKUP(Tabell4[[#This Row],[Namn]],'ALLA ÅR'!B:J,9,0)</f>
        <v>2010</v>
      </c>
      <c r="H169" s="12">
        <f>COUNTIF('ALLA ÅR'!B:B,Tabell4[[#This Row],[Namn]])</f>
        <v>1</v>
      </c>
      <c r="I169" s="12">
        <f>VLOOKUP(Tabell4[[#This Row],[Namn]],'ALLA ÅR'!B:L,11,0)</f>
        <v>0</v>
      </c>
      <c r="J169" s="12">
        <f>RANK(Tabell4[[#This Row],[MÅL]],F:F)</f>
        <v>107</v>
      </c>
      <c r="K169" s="12">
        <f>RANK(Tabell4[[#This Row],[VAR]],D:D)</f>
        <v>54</v>
      </c>
      <c r="L169" s="12">
        <f>RANK(Tabell4[[#This Row],[MAT]],C:C)</f>
        <v>139</v>
      </c>
      <c r="M169" s="14">
        <f>Tabell4[[#This Row],[MAT]]/Tabell4[[#This Row],[ANTAL MATCHER]]</f>
        <v>0.18181818181818182</v>
      </c>
      <c r="N169" s="12">
        <f>SUMIF('ALLA ÅR'!B:B,Tabell4[[#This Row],[Namn]],'ALLA ÅR'!H:H)</f>
        <v>22</v>
      </c>
      <c r="O169" s="12">
        <f>(Tabell4[[#This Row],[UTV]]*2)+Tabell4[[#This Row],[VAR]]</f>
        <v>0</v>
      </c>
      <c r="P169" s="12">
        <f>COUNTIF('100%'!B:B,Tabell4[[#This Row],[Namn]])</f>
        <v>0</v>
      </c>
      <c r="Q169" s="12">
        <f>_xlfn.XLOOKUP(Tabell4[[#This Row],[Namn]],Blad3!A:A,Blad3!B:B)</f>
        <v>0</v>
      </c>
      <c r="R169" s="12">
        <f>_xlfn.XLOOKUP(Tabell4[[#This Row],[Namn]],Blad3!A:A,Blad3!C:C)</f>
        <v>0</v>
      </c>
      <c r="S169" s="12">
        <f>_xlfn.XLOOKUP(Tabell4[[#This Row],[Namn]],Blad3!A:A,Blad3!D:D)</f>
        <v>4</v>
      </c>
      <c r="T169" s="12">
        <f>_xlfn.XLOOKUP(Tabell4[[#This Row],[Namn]],Blad3!A:A,Blad3!E:E)</f>
        <v>0</v>
      </c>
      <c r="U169" s="12">
        <f>RANK(Tabell4[[#This Row],[SÄS]],Tabell4[SÄS])</f>
        <v>114</v>
      </c>
      <c r="V169" s="12">
        <f>_xlfn.XLOOKUP(Tabell4[[#This Row],[Namn]],Blad3!H:H,Blad3!I:I)</f>
        <v>0</v>
      </c>
      <c r="W169" s="12">
        <f>_xlfn.XLOOKUP(Tabell4[[#This Row],[Namn]],Blad3!H:H,Blad3!J:J)</f>
        <v>0</v>
      </c>
      <c r="X169" s="12">
        <f>_xlfn.XLOOKUP(Tabell4[[#This Row],[Namn]],Blad3!H:H,Blad3!K:K)</f>
        <v>0</v>
      </c>
      <c r="Y169" s="12">
        <f>_xlfn.XLOOKUP(Tabell4[[#This Row],[Namn]],Blad3!H:H,Blad3!L:L)</f>
        <v>0</v>
      </c>
    </row>
    <row r="170" spans="1:25" x14ac:dyDescent="0.25">
      <c r="A170" s="15">
        <f>Tabell4[[#This Row],[RANK MATCHER]]</f>
        <v>156</v>
      </c>
      <c r="B170" s="11" t="s">
        <v>49</v>
      </c>
      <c r="C170" s="12">
        <f>SUMIF('ALLA ÅR'!B:B,Tabell4[[#This Row],[Namn]],'ALLA ÅR'!C:C)</f>
        <v>3</v>
      </c>
      <c r="D170" s="12">
        <f>SUMIF('ALLA ÅR'!B:B,Tabell4[[#This Row],[Namn]],'ALLA ÅR'!E:E)</f>
        <v>0</v>
      </c>
      <c r="E170" s="12">
        <f>SUMIF('ALLA ÅR'!B:B,Tabell4[[#This Row],[Namn]],'ALLA ÅR'!F:F)</f>
        <v>0</v>
      </c>
      <c r="F170" s="12">
        <f>SUMIF('ALLA ÅR'!B:B,Tabell4[[#This Row],[Namn]],'ALLA ÅR'!G:G)</f>
        <v>0</v>
      </c>
      <c r="G170" s="12">
        <f>VLOOKUP(Tabell4[[#This Row],[Namn]],'ALLA ÅR'!B:J,9,0)</f>
        <v>2025</v>
      </c>
      <c r="H170" s="12">
        <f>COUNTIF('ALLA ÅR'!B:B,Tabell4[[#This Row],[Namn]])</f>
        <v>1</v>
      </c>
      <c r="I170" s="12">
        <f>VLOOKUP(Tabell4[[#This Row],[Namn]],'ALLA ÅR'!B:L,11,0)</f>
        <v>18</v>
      </c>
      <c r="J170" s="12">
        <f>RANK(Tabell4[[#This Row],[MÅL]],F:F)</f>
        <v>107</v>
      </c>
      <c r="K170" s="12">
        <f>RANK(Tabell4[[#This Row],[VAR]],D:D)</f>
        <v>54</v>
      </c>
      <c r="L170" s="12">
        <f>RANK(Tabell4[[#This Row],[MAT]],C:C)</f>
        <v>156</v>
      </c>
      <c r="M170" s="14">
        <f>Tabell4[[#This Row],[MAT]]/Tabell4[[#This Row],[ANTAL MATCHER]]</f>
        <v>0.75</v>
      </c>
      <c r="N170" s="12">
        <f>SUMIF('ALLA ÅR'!B:B,Tabell4[[#This Row],[Namn]],'ALLA ÅR'!H:H)</f>
        <v>4</v>
      </c>
      <c r="O170" s="12">
        <f>(Tabell4[[#This Row],[UTV]]*2)+Tabell4[[#This Row],[VAR]]</f>
        <v>0</v>
      </c>
      <c r="P170" s="12">
        <f>COUNTIF('100%'!B:B,Tabell4[[#This Row],[Namn]])</f>
        <v>0</v>
      </c>
      <c r="Q170" s="12">
        <f>_xlfn.XLOOKUP(Tabell4[[#This Row],[Namn]],Blad3!A:A,Blad3!B:B)</f>
        <v>0</v>
      </c>
      <c r="R170" s="12">
        <f>_xlfn.XLOOKUP(Tabell4[[#This Row],[Namn]],Blad3!A:A,Blad3!C:C)</f>
        <v>3</v>
      </c>
      <c r="S170" s="12">
        <f>_xlfn.XLOOKUP(Tabell4[[#This Row],[Namn]],Blad3!A:A,Blad3!D:D)</f>
        <v>0</v>
      </c>
      <c r="T170" s="12">
        <f>_xlfn.XLOOKUP(Tabell4[[#This Row],[Namn]],Blad3!A:A,Blad3!E:E)</f>
        <v>0</v>
      </c>
      <c r="U170" s="12">
        <f>RANK(Tabell4[[#This Row],[SÄS]],Tabell4[SÄS])</f>
        <v>114</v>
      </c>
      <c r="V170" s="12">
        <f>_xlfn.XLOOKUP(Tabell4[[#This Row],[Namn]],Blad3!H:H,Blad3!I:I)</f>
        <v>0</v>
      </c>
      <c r="W170" s="12">
        <f>_xlfn.XLOOKUP(Tabell4[[#This Row],[Namn]],Blad3!H:H,Blad3!J:J)</f>
        <v>0</v>
      </c>
      <c r="X170" s="12">
        <f>_xlfn.XLOOKUP(Tabell4[[#This Row],[Namn]],Blad3!H:H,Blad3!K:K)</f>
        <v>0</v>
      </c>
      <c r="Y170" s="12">
        <f>_xlfn.XLOOKUP(Tabell4[[#This Row],[Namn]],Blad3!H:H,Blad3!L:L)</f>
        <v>0</v>
      </c>
    </row>
    <row r="171" spans="1:25" x14ac:dyDescent="0.25">
      <c r="A171" s="15">
        <f>Tabell4[[#This Row],[RANK MATCHER]]</f>
        <v>156</v>
      </c>
      <c r="B171" s="11" t="s">
        <v>90</v>
      </c>
      <c r="C171" s="12">
        <f>SUMIF('ALLA ÅR'!B:B,Tabell4[[#This Row],[Namn]],'ALLA ÅR'!C:C)</f>
        <v>3</v>
      </c>
      <c r="D171" s="12">
        <f>SUMIF('ALLA ÅR'!B:B,Tabell4[[#This Row],[Namn]],'ALLA ÅR'!E:E)</f>
        <v>0</v>
      </c>
      <c r="E171" s="12">
        <f>SUMIF('ALLA ÅR'!B:B,Tabell4[[#This Row],[Namn]],'ALLA ÅR'!F:F)</f>
        <v>0</v>
      </c>
      <c r="F171" s="12">
        <f>SUMIF('ALLA ÅR'!B:B,Tabell4[[#This Row],[Namn]],'ALLA ÅR'!G:G)</f>
        <v>0</v>
      </c>
      <c r="G171" s="12">
        <f>VLOOKUP(Tabell4[[#This Row],[Namn]],'ALLA ÅR'!B:J,9,0)</f>
        <v>2022</v>
      </c>
      <c r="H171" s="12">
        <f>COUNTIF('ALLA ÅR'!B:B,Tabell4[[#This Row],[Namn]])</f>
        <v>2</v>
      </c>
      <c r="I171" s="12">
        <f>VLOOKUP(Tabell4[[#This Row],[Namn]],'ALLA ÅR'!B:L,11,0)</f>
        <v>18</v>
      </c>
      <c r="J171" s="12">
        <f>RANK(Tabell4[[#This Row],[MÅL]],F:F)</f>
        <v>107</v>
      </c>
      <c r="K171" s="12">
        <f>RANK(Tabell4[[#This Row],[VAR]],D:D)</f>
        <v>54</v>
      </c>
      <c r="L171" s="12">
        <f>RANK(Tabell4[[#This Row],[MAT]],C:C)</f>
        <v>156</v>
      </c>
      <c r="M171" s="14">
        <f>Tabell4[[#This Row],[MAT]]/Tabell4[[#This Row],[ANTAL MATCHER]]</f>
        <v>7.4999999999999997E-2</v>
      </c>
      <c r="N171" s="12">
        <f>SUMIF('ALLA ÅR'!B:B,Tabell4[[#This Row],[Namn]],'ALLA ÅR'!H:H)</f>
        <v>40</v>
      </c>
      <c r="O171" s="12">
        <f>(Tabell4[[#This Row],[UTV]]*2)+Tabell4[[#This Row],[VAR]]</f>
        <v>0</v>
      </c>
      <c r="P171" s="12">
        <f>COUNTIF('100%'!B:B,Tabell4[[#This Row],[Namn]])</f>
        <v>0</v>
      </c>
      <c r="Q171" s="12">
        <f>_xlfn.XLOOKUP(Tabell4[[#This Row],[Namn]],Blad3!A:A,Blad3!B:B)</f>
        <v>0</v>
      </c>
      <c r="R171" s="12">
        <f>_xlfn.XLOOKUP(Tabell4[[#This Row],[Namn]],Blad3!A:A,Blad3!C:C)</f>
        <v>3</v>
      </c>
      <c r="S171" s="12">
        <f>_xlfn.XLOOKUP(Tabell4[[#This Row],[Namn]],Blad3!A:A,Blad3!D:D)</f>
        <v>0</v>
      </c>
      <c r="T171" s="12">
        <f>_xlfn.XLOOKUP(Tabell4[[#This Row],[Namn]],Blad3!A:A,Blad3!E:E)</f>
        <v>0</v>
      </c>
      <c r="U171" s="12">
        <f>RANK(Tabell4[[#This Row],[SÄS]],Tabell4[SÄS])</f>
        <v>61</v>
      </c>
      <c r="V171" s="12">
        <f>_xlfn.XLOOKUP(Tabell4[[#This Row],[Namn]],Blad3!H:H,Blad3!I:I)</f>
        <v>0</v>
      </c>
      <c r="W171" s="12">
        <f>_xlfn.XLOOKUP(Tabell4[[#This Row],[Namn]],Blad3!H:H,Blad3!J:J)</f>
        <v>0</v>
      </c>
      <c r="X171" s="12">
        <f>_xlfn.XLOOKUP(Tabell4[[#This Row],[Namn]],Blad3!H:H,Blad3!K:K)</f>
        <v>0</v>
      </c>
      <c r="Y171" s="12">
        <f>_xlfn.XLOOKUP(Tabell4[[#This Row],[Namn]],Blad3!H:H,Blad3!L:L)</f>
        <v>0</v>
      </c>
    </row>
    <row r="172" spans="1:25" x14ac:dyDescent="0.25">
      <c r="A172" s="15">
        <f>Tabell4[[#This Row],[RANK MATCHER]]</f>
        <v>156</v>
      </c>
      <c r="B172" s="11" t="s">
        <v>95</v>
      </c>
      <c r="C172" s="12">
        <f>SUMIF('ALLA ÅR'!B:B,Tabell4[[#This Row],[Namn]],'ALLA ÅR'!C:C)</f>
        <v>3</v>
      </c>
      <c r="D172" s="12">
        <f>SUMIF('ALLA ÅR'!B:B,Tabell4[[#This Row],[Namn]],'ALLA ÅR'!E:E)</f>
        <v>0</v>
      </c>
      <c r="E172" s="12">
        <f>SUMIF('ALLA ÅR'!B:B,Tabell4[[#This Row],[Namn]],'ALLA ÅR'!F:F)</f>
        <v>0</v>
      </c>
      <c r="F172" s="12">
        <f>SUMIF('ALLA ÅR'!B:B,Tabell4[[#This Row],[Namn]],'ALLA ÅR'!G:G)</f>
        <v>0</v>
      </c>
      <c r="G172" s="12">
        <f>VLOOKUP(Tabell4[[#This Row],[Namn]],'ALLA ÅR'!B:J,9,0)</f>
        <v>2021</v>
      </c>
      <c r="H172" s="12">
        <f>COUNTIF('ALLA ÅR'!B:B,Tabell4[[#This Row],[Namn]])</f>
        <v>1</v>
      </c>
      <c r="I172" s="12">
        <f>VLOOKUP(Tabell4[[#This Row],[Namn]],'ALLA ÅR'!B:L,11,0)</f>
        <v>16</v>
      </c>
      <c r="J172" s="12">
        <f>RANK(Tabell4[[#This Row],[MÅL]],F:F)</f>
        <v>107</v>
      </c>
      <c r="K172" s="12">
        <f>RANK(Tabell4[[#This Row],[VAR]],D:D)</f>
        <v>54</v>
      </c>
      <c r="L172" s="12">
        <f>RANK(Tabell4[[#This Row],[MAT]],C:C)</f>
        <v>156</v>
      </c>
      <c r="M172" s="14">
        <f>Tabell4[[#This Row],[MAT]]/Tabell4[[#This Row],[ANTAL MATCHER]]</f>
        <v>0.27272727272727271</v>
      </c>
      <c r="N172" s="12">
        <f>SUMIF('ALLA ÅR'!B:B,Tabell4[[#This Row],[Namn]],'ALLA ÅR'!H:H)</f>
        <v>11</v>
      </c>
      <c r="O172" s="12">
        <f>(Tabell4[[#This Row],[UTV]]*2)+Tabell4[[#This Row],[VAR]]</f>
        <v>0</v>
      </c>
      <c r="P172" s="12">
        <f>COUNTIF('100%'!B:B,Tabell4[[#This Row],[Namn]])</f>
        <v>0</v>
      </c>
      <c r="Q172" s="12">
        <f>_xlfn.XLOOKUP(Tabell4[[#This Row],[Namn]],Blad3!A:A,Blad3!B:B)</f>
        <v>0</v>
      </c>
      <c r="R172" s="12">
        <f>_xlfn.XLOOKUP(Tabell4[[#This Row],[Namn]],Blad3!A:A,Blad3!C:C)</f>
        <v>3</v>
      </c>
      <c r="S172" s="12">
        <f>_xlfn.XLOOKUP(Tabell4[[#This Row],[Namn]],Blad3!A:A,Blad3!D:D)</f>
        <v>0</v>
      </c>
      <c r="T172" s="12">
        <f>_xlfn.XLOOKUP(Tabell4[[#This Row],[Namn]],Blad3!A:A,Blad3!E:E)</f>
        <v>0</v>
      </c>
      <c r="U172" s="12">
        <f>RANK(Tabell4[[#This Row],[SÄS]],Tabell4[SÄS])</f>
        <v>114</v>
      </c>
      <c r="V172" s="12">
        <f>_xlfn.XLOOKUP(Tabell4[[#This Row],[Namn]],Blad3!H:H,Blad3!I:I)</f>
        <v>0</v>
      </c>
      <c r="W172" s="12">
        <f>_xlfn.XLOOKUP(Tabell4[[#This Row],[Namn]],Blad3!H:H,Blad3!J:J)</f>
        <v>0</v>
      </c>
      <c r="X172" s="12">
        <f>_xlfn.XLOOKUP(Tabell4[[#This Row],[Namn]],Blad3!H:H,Blad3!K:K)</f>
        <v>0</v>
      </c>
      <c r="Y172" s="12">
        <f>_xlfn.XLOOKUP(Tabell4[[#This Row],[Namn]],Blad3!H:H,Blad3!L:L)</f>
        <v>0</v>
      </c>
    </row>
    <row r="173" spans="1:25" x14ac:dyDescent="0.25">
      <c r="A173" s="15">
        <f>Tabell4[[#This Row],[RANK MATCHER]]</f>
        <v>156</v>
      </c>
      <c r="B173" s="11" t="s">
        <v>143</v>
      </c>
      <c r="C173" s="12">
        <f>SUMIF('ALLA ÅR'!B:B,Tabell4[[#This Row],[Namn]],'ALLA ÅR'!C:C)</f>
        <v>3</v>
      </c>
      <c r="D173" s="12">
        <f>SUMIF('ALLA ÅR'!B:B,Tabell4[[#This Row],[Namn]],'ALLA ÅR'!E:E)</f>
        <v>0</v>
      </c>
      <c r="E173" s="12">
        <f>SUMIF('ALLA ÅR'!B:B,Tabell4[[#This Row],[Namn]],'ALLA ÅR'!F:F)</f>
        <v>0</v>
      </c>
      <c r="F173" s="12">
        <f>SUMIF('ALLA ÅR'!B:B,Tabell4[[#This Row],[Namn]],'ALLA ÅR'!G:G)</f>
        <v>0</v>
      </c>
      <c r="G173" s="12">
        <f>VLOOKUP(Tabell4[[#This Row],[Namn]],'ALLA ÅR'!B:J,9,0)</f>
        <v>2016</v>
      </c>
      <c r="H173" s="12">
        <f>COUNTIF('ALLA ÅR'!B:B,Tabell4[[#This Row],[Namn]])</f>
        <v>1</v>
      </c>
      <c r="I173" s="12">
        <f>VLOOKUP(Tabell4[[#This Row],[Namn]],'ALLA ÅR'!B:L,11,0)</f>
        <v>17</v>
      </c>
      <c r="J173" s="12">
        <f>RANK(Tabell4[[#This Row],[MÅL]],F:F)</f>
        <v>107</v>
      </c>
      <c r="K173" s="12">
        <f>RANK(Tabell4[[#This Row],[VAR]],D:D)</f>
        <v>54</v>
      </c>
      <c r="L173" s="12">
        <f>RANK(Tabell4[[#This Row],[MAT]],C:C)</f>
        <v>156</v>
      </c>
      <c r="M173" s="14">
        <f>Tabell4[[#This Row],[MAT]]/Tabell4[[#This Row],[ANTAL MATCHER]]</f>
        <v>0.1875</v>
      </c>
      <c r="N173" s="12">
        <f>SUMIF('ALLA ÅR'!B:B,Tabell4[[#This Row],[Namn]],'ALLA ÅR'!H:H)</f>
        <v>16</v>
      </c>
      <c r="O173" s="12">
        <f>(Tabell4[[#This Row],[UTV]]*2)+Tabell4[[#This Row],[VAR]]</f>
        <v>0</v>
      </c>
      <c r="P173" s="12">
        <f>COUNTIF('100%'!B:B,Tabell4[[#This Row],[Namn]])</f>
        <v>0</v>
      </c>
      <c r="Q173" s="12">
        <f>_xlfn.XLOOKUP(Tabell4[[#This Row],[Namn]],Blad3!A:A,Blad3!B:B)</f>
        <v>0</v>
      </c>
      <c r="R173" s="12">
        <f>_xlfn.XLOOKUP(Tabell4[[#This Row],[Namn]],Blad3!A:A,Blad3!C:C)</f>
        <v>0</v>
      </c>
      <c r="S173" s="12">
        <f>_xlfn.XLOOKUP(Tabell4[[#This Row],[Namn]],Blad3!A:A,Blad3!D:D)</f>
        <v>0</v>
      </c>
      <c r="T173" s="12">
        <f>_xlfn.XLOOKUP(Tabell4[[#This Row],[Namn]],Blad3!A:A,Blad3!E:E)</f>
        <v>3</v>
      </c>
      <c r="U173" s="12">
        <f>RANK(Tabell4[[#This Row],[SÄS]],Tabell4[SÄS])</f>
        <v>114</v>
      </c>
      <c r="V173" s="12">
        <f>_xlfn.XLOOKUP(Tabell4[[#This Row],[Namn]],Blad3!H:H,Blad3!I:I)</f>
        <v>0</v>
      </c>
      <c r="W173" s="12">
        <f>_xlfn.XLOOKUP(Tabell4[[#This Row],[Namn]],Blad3!H:H,Blad3!J:J)</f>
        <v>0</v>
      </c>
      <c r="X173" s="12">
        <f>_xlfn.XLOOKUP(Tabell4[[#This Row],[Namn]],Blad3!H:H,Blad3!K:K)</f>
        <v>0</v>
      </c>
      <c r="Y173" s="12">
        <f>_xlfn.XLOOKUP(Tabell4[[#This Row],[Namn]],Blad3!H:H,Blad3!L:L)</f>
        <v>0</v>
      </c>
    </row>
    <row r="174" spans="1:25" x14ac:dyDescent="0.25">
      <c r="A174" s="15">
        <f>Tabell4[[#This Row],[RANK MATCHER]]</f>
        <v>156</v>
      </c>
      <c r="B174" s="11" t="s">
        <v>163</v>
      </c>
      <c r="C174" s="12">
        <f>SUMIF('ALLA ÅR'!B:B,Tabell4[[#This Row],[Namn]],'ALLA ÅR'!C:C)</f>
        <v>3</v>
      </c>
      <c r="D174" s="12">
        <f>SUMIF('ALLA ÅR'!B:B,Tabell4[[#This Row],[Namn]],'ALLA ÅR'!E:E)</f>
        <v>0</v>
      </c>
      <c r="E174" s="12">
        <f>SUMIF('ALLA ÅR'!B:B,Tabell4[[#This Row],[Namn]],'ALLA ÅR'!F:F)</f>
        <v>0</v>
      </c>
      <c r="F174" s="12">
        <f>SUMIF('ALLA ÅR'!B:B,Tabell4[[#This Row],[Namn]],'ALLA ÅR'!G:G)</f>
        <v>0</v>
      </c>
      <c r="G174" s="12">
        <f>VLOOKUP(Tabell4[[#This Row],[Namn]],'ALLA ÅR'!B:J,9,0)</f>
        <v>2015</v>
      </c>
      <c r="H174" s="12">
        <f>COUNTIF('ALLA ÅR'!B:B,Tabell4[[#This Row],[Namn]])</f>
        <v>1</v>
      </c>
      <c r="I174" s="12">
        <f>VLOOKUP(Tabell4[[#This Row],[Namn]],'ALLA ÅR'!B:L,11,0)</f>
        <v>15</v>
      </c>
      <c r="J174" s="12">
        <f>RANK(Tabell4[[#This Row],[MÅL]],F:F)</f>
        <v>107</v>
      </c>
      <c r="K174" s="12">
        <f>RANK(Tabell4[[#This Row],[VAR]],D:D)</f>
        <v>54</v>
      </c>
      <c r="L174" s="12">
        <f>RANK(Tabell4[[#This Row],[MAT]],C:C)</f>
        <v>156</v>
      </c>
      <c r="M174" s="14">
        <f>Tabell4[[#This Row],[MAT]]/Tabell4[[#This Row],[ANTAL MATCHER]]</f>
        <v>0.13043478260869565</v>
      </c>
      <c r="N174" s="12">
        <f>SUMIF('ALLA ÅR'!B:B,Tabell4[[#This Row],[Namn]],'ALLA ÅR'!H:H)</f>
        <v>23</v>
      </c>
      <c r="O174" s="12">
        <f>(Tabell4[[#This Row],[UTV]]*2)+Tabell4[[#This Row],[VAR]]</f>
        <v>0</v>
      </c>
      <c r="P174" s="12">
        <f>COUNTIF('100%'!B:B,Tabell4[[#This Row],[Namn]])</f>
        <v>0</v>
      </c>
      <c r="Q174" s="12">
        <f>_xlfn.XLOOKUP(Tabell4[[#This Row],[Namn]],Blad3!A:A,Blad3!B:B)</f>
        <v>0</v>
      </c>
      <c r="R174" s="12">
        <f>_xlfn.XLOOKUP(Tabell4[[#This Row],[Namn]],Blad3!A:A,Blad3!C:C)</f>
        <v>0</v>
      </c>
      <c r="S174" s="12">
        <f>_xlfn.XLOOKUP(Tabell4[[#This Row],[Namn]],Blad3!A:A,Blad3!D:D)</f>
        <v>0</v>
      </c>
      <c r="T174" s="12">
        <f>_xlfn.XLOOKUP(Tabell4[[#This Row],[Namn]],Blad3!A:A,Blad3!E:E)</f>
        <v>3</v>
      </c>
      <c r="U174" s="12">
        <f>RANK(Tabell4[[#This Row],[SÄS]],Tabell4[SÄS])</f>
        <v>114</v>
      </c>
      <c r="V174" s="12">
        <f>_xlfn.XLOOKUP(Tabell4[[#This Row],[Namn]],Blad3!H:H,Blad3!I:I)</f>
        <v>0</v>
      </c>
      <c r="W174" s="12">
        <f>_xlfn.XLOOKUP(Tabell4[[#This Row],[Namn]],Blad3!H:H,Blad3!J:J)</f>
        <v>0</v>
      </c>
      <c r="X174" s="12">
        <f>_xlfn.XLOOKUP(Tabell4[[#This Row],[Namn]],Blad3!H:H,Blad3!K:K)</f>
        <v>0</v>
      </c>
      <c r="Y174" s="12">
        <f>_xlfn.XLOOKUP(Tabell4[[#This Row],[Namn]],Blad3!H:H,Blad3!L:L)</f>
        <v>0</v>
      </c>
    </row>
    <row r="175" spans="1:25" x14ac:dyDescent="0.25">
      <c r="A175" s="15">
        <f>Tabell4[[#This Row],[RANK MATCHER]]</f>
        <v>156</v>
      </c>
      <c r="B175" s="11" t="s">
        <v>175</v>
      </c>
      <c r="C175" s="12">
        <f>SUMIF('ALLA ÅR'!B:B,Tabell4[[#This Row],[Namn]],'ALLA ÅR'!C:C)</f>
        <v>3</v>
      </c>
      <c r="D175" s="12">
        <f>SUMIF('ALLA ÅR'!B:B,Tabell4[[#This Row],[Namn]],'ALLA ÅR'!E:E)</f>
        <v>0</v>
      </c>
      <c r="E175" s="12">
        <f>SUMIF('ALLA ÅR'!B:B,Tabell4[[#This Row],[Namn]],'ALLA ÅR'!F:F)</f>
        <v>0</v>
      </c>
      <c r="F175" s="12">
        <f>SUMIF('ALLA ÅR'!B:B,Tabell4[[#This Row],[Namn]],'ALLA ÅR'!G:G)</f>
        <v>0</v>
      </c>
      <c r="G175" s="12">
        <f>VLOOKUP(Tabell4[[#This Row],[Namn]],'ALLA ÅR'!B:J,9,0)</f>
        <v>2014</v>
      </c>
      <c r="H175" s="12">
        <f>COUNTIF('ALLA ÅR'!B:B,Tabell4[[#This Row],[Namn]])</f>
        <v>1</v>
      </c>
      <c r="I175" s="12">
        <f>VLOOKUP(Tabell4[[#This Row],[Namn]],'ALLA ÅR'!B:L,11,0)</f>
        <v>16</v>
      </c>
      <c r="J175" s="12">
        <f>RANK(Tabell4[[#This Row],[MÅL]],F:F)</f>
        <v>107</v>
      </c>
      <c r="K175" s="12">
        <f>RANK(Tabell4[[#This Row],[VAR]],D:D)</f>
        <v>54</v>
      </c>
      <c r="L175" s="12">
        <f>RANK(Tabell4[[#This Row],[MAT]],C:C)</f>
        <v>156</v>
      </c>
      <c r="M175" s="14">
        <f>Tabell4[[#This Row],[MAT]]/Tabell4[[#This Row],[ANTAL MATCHER]]</f>
        <v>0.1875</v>
      </c>
      <c r="N175" s="12">
        <f>SUMIF('ALLA ÅR'!B:B,Tabell4[[#This Row],[Namn]],'ALLA ÅR'!H:H)</f>
        <v>16</v>
      </c>
      <c r="O175" s="12">
        <f>(Tabell4[[#This Row],[UTV]]*2)+Tabell4[[#This Row],[VAR]]</f>
        <v>0</v>
      </c>
      <c r="P175" s="12">
        <f>COUNTIF('100%'!B:B,Tabell4[[#This Row],[Namn]])</f>
        <v>0</v>
      </c>
      <c r="Q175" s="12">
        <f>_xlfn.XLOOKUP(Tabell4[[#This Row],[Namn]],Blad3!A:A,Blad3!B:B)</f>
        <v>0</v>
      </c>
      <c r="R175" s="12">
        <f>_xlfn.XLOOKUP(Tabell4[[#This Row],[Namn]],Blad3!A:A,Blad3!C:C)</f>
        <v>0</v>
      </c>
      <c r="S175" s="12">
        <f>_xlfn.XLOOKUP(Tabell4[[#This Row],[Namn]],Blad3!A:A,Blad3!D:D)</f>
        <v>0</v>
      </c>
      <c r="T175" s="12">
        <f>_xlfn.XLOOKUP(Tabell4[[#This Row],[Namn]],Blad3!A:A,Blad3!E:E)</f>
        <v>3</v>
      </c>
      <c r="U175" s="12">
        <f>RANK(Tabell4[[#This Row],[SÄS]],Tabell4[SÄS])</f>
        <v>114</v>
      </c>
      <c r="V175" s="12">
        <f>_xlfn.XLOOKUP(Tabell4[[#This Row],[Namn]],Blad3!H:H,Blad3!I:I)</f>
        <v>0</v>
      </c>
      <c r="W175" s="12">
        <f>_xlfn.XLOOKUP(Tabell4[[#This Row],[Namn]],Blad3!H:H,Blad3!J:J)</f>
        <v>0</v>
      </c>
      <c r="X175" s="12">
        <f>_xlfn.XLOOKUP(Tabell4[[#This Row],[Namn]],Blad3!H:H,Blad3!K:K)</f>
        <v>0</v>
      </c>
      <c r="Y175" s="12">
        <f>_xlfn.XLOOKUP(Tabell4[[#This Row],[Namn]],Blad3!H:H,Blad3!L:L)</f>
        <v>0</v>
      </c>
    </row>
    <row r="176" spans="1:25" x14ac:dyDescent="0.25">
      <c r="A176" s="15">
        <f>Tabell4[[#This Row],[RANK MATCHER]]</f>
        <v>156</v>
      </c>
      <c r="B176" s="11" t="s">
        <v>178</v>
      </c>
      <c r="C176" s="12">
        <f>SUMIF('ALLA ÅR'!B:B,Tabell4[[#This Row],[Namn]],'ALLA ÅR'!C:C)</f>
        <v>3</v>
      </c>
      <c r="D176" s="12">
        <f>SUMIF('ALLA ÅR'!B:B,Tabell4[[#This Row],[Namn]],'ALLA ÅR'!E:E)</f>
        <v>0</v>
      </c>
      <c r="E176" s="12">
        <f>SUMIF('ALLA ÅR'!B:B,Tabell4[[#This Row],[Namn]],'ALLA ÅR'!F:F)</f>
        <v>0</v>
      </c>
      <c r="F176" s="12">
        <f>SUMIF('ALLA ÅR'!B:B,Tabell4[[#This Row],[Namn]],'ALLA ÅR'!G:G)</f>
        <v>0</v>
      </c>
      <c r="G176" s="12">
        <f>VLOOKUP(Tabell4[[#This Row],[Namn]],'ALLA ÅR'!B:J,9,0)</f>
        <v>2013</v>
      </c>
      <c r="H176" s="12">
        <f>COUNTIF('ALLA ÅR'!B:B,Tabell4[[#This Row],[Namn]])</f>
        <v>1</v>
      </c>
      <c r="I176" s="12">
        <f>VLOOKUP(Tabell4[[#This Row],[Namn]],'ALLA ÅR'!B:L,11,0)</f>
        <v>14</v>
      </c>
      <c r="J176" s="12">
        <f>RANK(Tabell4[[#This Row],[MÅL]],F:F)</f>
        <v>107</v>
      </c>
      <c r="K176" s="12">
        <f>RANK(Tabell4[[#This Row],[VAR]],D:D)</f>
        <v>54</v>
      </c>
      <c r="L176" s="12">
        <f>RANK(Tabell4[[#This Row],[MAT]],C:C)</f>
        <v>156</v>
      </c>
      <c r="M176" s="14">
        <f>Tabell4[[#This Row],[MAT]]/Tabell4[[#This Row],[ANTAL MATCHER]]</f>
        <v>0.21428571428571427</v>
      </c>
      <c r="N176" s="12">
        <f>SUMIF('ALLA ÅR'!B:B,Tabell4[[#This Row],[Namn]],'ALLA ÅR'!H:H)</f>
        <v>14</v>
      </c>
      <c r="O176" s="12">
        <f>(Tabell4[[#This Row],[UTV]]*2)+Tabell4[[#This Row],[VAR]]</f>
        <v>0</v>
      </c>
      <c r="P176" s="12">
        <f>COUNTIF('100%'!B:B,Tabell4[[#This Row],[Namn]])</f>
        <v>0</v>
      </c>
      <c r="Q176" s="12">
        <f>_xlfn.XLOOKUP(Tabell4[[#This Row],[Namn]],Blad3!A:A,Blad3!B:B)</f>
        <v>0</v>
      </c>
      <c r="R176" s="12">
        <f>_xlfn.XLOOKUP(Tabell4[[#This Row],[Namn]],Blad3!A:A,Blad3!C:C)</f>
        <v>0</v>
      </c>
      <c r="S176" s="12">
        <f>_xlfn.XLOOKUP(Tabell4[[#This Row],[Namn]],Blad3!A:A,Blad3!D:D)</f>
        <v>0</v>
      </c>
      <c r="T176" s="12">
        <f>_xlfn.XLOOKUP(Tabell4[[#This Row],[Namn]],Blad3!A:A,Blad3!E:E)</f>
        <v>3</v>
      </c>
      <c r="U176" s="12">
        <f>RANK(Tabell4[[#This Row],[SÄS]],Tabell4[SÄS])</f>
        <v>114</v>
      </c>
      <c r="V176" s="12">
        <f>_xlfn.XLOOKUP(Tabell4[[#This Row],[Namn]],Blad3!H:H,Blad3!I:I)</f>
        <v>0</v>
      </c>
      <c r="W176" s="12">
        <f>_xlfn.XLOOKUP(Tabell4[[#This Row],[Namn]],Blad3!H:H,Blad3!J:J)</f>
        <v>0</v>
      </c>
      <c r="X176" s="12">
        <f>_xlfn.XLOOKUP(Tabell4[[#This Row],[Namn]],Blad3!H:H,Blad3!K:K)</f>
        <v>0</v>
      </c>
      <c r="Y176" s="12">
        <f>_xlfn.XLOOKUP(Tabell4[[#This Row],[Namn]],Blad3!H:H,Blad3!L:L)</f>
        <v>0</v>
      </c>
    </row>
    <row r="177" spans="1:25" x14ac:dyDescent="0.25">
      <c r="A177" s="15">
        <f>Tabell4[[#This Row],[RANK MATCHER]]</f>
        <v>156</v>
      </c>
      <c r="B177" s="11" t="s">
        <v>179</v>
      </c>
      <c r="C177" s="12">
        <f>SUMIF('ALLA ÅR'!B:B,Tabell4[[#This Row],[Namn]],'ALLA ÅR'!C:C)</f>
        <v>3</v>
      </c>
      <c r="D177" s="12">
        <f>SUMIF('ALLA ÅR'!B:B,Tabell4[[#This Row],[Namn]],'ALLA ÅR'!E:E)</f>
        <v>0</v>
      </c>
      <c r="E177" s="12">
        <f>SUMIF('ALLA ÅR'!B:B,Tabell4[[#This Row],[Namn]],'ALLA ÅR'!F:F)</f>
        <v>0</v>
      </c>
      <c r="F177" s="12">
        <f>SUMIF('ALLA ÅR'!B:B,Tabell4[[#This Row],[Namn]],'ALLA ÅR'!G:G)</f>
        <v>0</v>
      </c>
      <c r="G177" s="12">
        <f>VLOOKUP(Tabell4[[#This Row],[Namn]],'ALLA ÅR'!B:J,9,0)</f>
        <v>2013</v>
      </c>
      <c r="H177" s="12">
        <f>COUNTIF('ALLA ÅR'!B:B,Tabell4[[#This Row],[Namn]])</f>
        <v>1</v>
      </c>
      <c r="I177" s="12">
        <f>VLOOKUP(Tabell4[[#This Row],[Namn]],'ALLA ÅR'!B:L,11,0)</f>
        <v>17</v>
      </c>
      <c r="J177" s="12">
        <f>RANK(Tabell4[[#This Row],[MÅL]],F:F)</f>
        <v>107</v>
      </c>
      <c r="K177" s="12">
        <f>RANK(Tabell4[[#This Row],[VAR]],D:D)</f>
        <v>54</v>
      </c>
      <c r="L177" s="12">
        <f>RANK(Tabell4[[#This Row],[MAT]],C:C)</f>
        <v>156</v>
      </c>
      <c r="M177" s="14">
        <f>Tabell4[[#This Row],[MAT]]/Tabell4[[#This Row],[ANTAL MATCHER]]</f>
        <v>0.21428571428571427</v>
      </c>
      <c r="N177" s="12">
        <f>SUMIF('ALLA ÅR'!B:B,Tabell4[[#This Row],[Namn]],'ALLA ÅR'!H:H)</f>
        <v>14</v>
      </c>
      <c r="O177" s="12">
        <f>(Tabell4[[#This Row],[UTV]]*2)+Tabell4[[#This Row],[VAR]]</f>
        <v>0</v>
      </c>
      <c r="P177" s="12">
        <f>COUNTIF('100%'!B:B,Tabell4[[#This Row],[Namn]])</f>
        <v>0</v>
      </c>
      <c r="Q177" s="12">
        <f>_xlfn.XLOOKUP(Tabell4[[#This Row],[Namn]],Blad3!A:A,Blad3!B:B)</f>
        <v>0</v>
      </c>
      <c r="R177" s="12">
        <f>_xlfn.XLOOKUP(Tabell4[[#This Row],[Namn]],Blad3!A:A,Blad3!C:C)</f>
        <v>0</v>
      </c>
      <c r="S177" s="12">
        <f>_xlfn.XLOOKUP(Tabell4[[#This Row],[Namn]],Blad3!A:A,Blad3!D:D)</f>
        <v>0</v>
      </c>
      <c r="T177" s="12">
        <f>_xlfn.XLOOKUP(Tabell4[[#This Row],[Namn]],Blad3!A:A,Blad3!E:E)</f>
        <v>3</v>
      </c>
      <c r="U177" s="12">
        <f>RANK(Tabell4[[#This Row],[SÄS]],Tabell4[SÄS])</f>
        <v>114</v>
      </c>
      <c r="V177" s="12">
        <f>_xlfn.XLOOKUP(Tabell4[[#This Row],[Namn]],Blad3!H:H,Blad3!I:I)</f>
        <v>0</v>
      </c>
      <c r="W177" s="12">
        <f>_xlfn.XLOOKUP(Tabell4[[#This Row],[Namn]],Blad3!H:H,Blad3!J:J)</f>
        <v>0</v>
      </c>
      <c r="X177" s="12">
        <f>_xlfn.XLOOKUP(Tabell4[[#This Row],[Namn]],Blad3!H:H,Blad3!K:K)</f>
        <v>0</v>
      </c>
      <c r="Y177" s="12">
        <f>_xlfn.XLOOKUP(Tabell4[[#This Row],[Namn]],Blad3!H:H,Blad3!L:L)</f>
        <v>0</v>
      </c>
    </row>
    <row r="178" spans="1:25" x14ac:dyDescent="0.25">
      <c r="A178" s="15">
        <f>Tabell4[[#This Row],[RANK MATCHER]]</f>
        <v>156</v>
      </c>
      <c r="B178" s="11" t="s">
        <v>182</v>
      </c>
      <c r="C178" s="12">
        <f>SUMIF('ALLA ÅR'!B:B,Tabell4[[#This Row],[Namn]],'ALLA ÅR'!C:C)</f>
        <v>3</v>
      </c>
      <c r="D178" s="12">
        <f>SUMIF('ALLA ÅR'!B:B,Tabell4[[#This Row],[Namn]],'ALLA ÅR'!E:E)</f>
        <v>0</v>
      </c>
      <c r="E178" s="12">
        <f>SUMIF('ALLA ÅR'!B:B,Tabell4[[#This Row],[Namn]],'ALLA ÅR'!F:F)</f>
        <v>0</v>
      </c>
      <c r="F178" s="12">
        <f>SUMIF('ALLA ÅR'!B:B,Tabell4[[#This Row],[Namn]],'ALLA ÅR'!G:G)</f>
        <v>0</v>
      </c>
      <c r="G178" s="12">
        <f>VLOOKUP(Tabell4[[#This Row],[Namn]],'ALLA ÅR'!B:J,9,0)</f>
        <v>2012</v>
      </c>
      <c r="H178" s="12">
        <f>COUNTIF('ALLA ÅR'!B:B,Tabell4[[#This Row],[Namn]])</f>
        <v>1</v>
      </c>
      <c r="I178" s="12">
        <f>VLOOKUP(Tabell4[[#This Row],[Namn]],'ALLA ÅR'!B:L,11,0)</f>
        <v>16</v>
      </c>
      <c r="J178" s="12">
        <f>RANK(Tabell4[[#This Row],[MÅL]],F:F)</f>
        <v>107</v>
      </c>
      <c r="K178" s="12">
        <f>RANK(Tabell4[[#This Row],[VAR]],D:D)</f>
        <v>54</v>
      </c>
      <c r="L178" s="12">
        <f>RANK(Tabell4[[#This Row],[MAT]],C:C)</f>
        <v>156</v>
      </c>
      <c r="M178" s="14">
        <f>Tabell4[[#This Row],[MAT]]/Tabell4[[#This Row],[ANTAL MATCHER]]</f>
        <v>0.16666666666666666</v>
      </c>
      <c r="N178" s="12">
        <f>SUMIF('ALLA ÅR'!B:B,Tabell4[[#This Row],[Namn]],'ALLA ÅR'!H:H)</f>
        <v>18</v>
      </c>
      <c r="O178" s="12">
        <f>(Tabell4[[#This Row],[UTV]]*2)+Tabell4[[#This Row],[VAR]]</f>
        <v>0</v>
      </c>
      <c r="P178" s="12">
        <f>COUNTIF('100%'!B:B,Tabell4[[#This Row],[Namn]])</f>
        <v>0</v>
      </c>
      <c r="Q178" s="12">
        <f>_xlfn.XLOOKUP(Tabell4[[#This Row],[Namn]],Blad3!A:A,Blad3!B:B)</f>
        <v>0</v>
      </c>
      <c r="R178" s="12">
        <f>_xlfn.XLOOKUP(Tabell4[[#This Row],[Namn]],Blad3!A:A,Blad3!C:C)</f>
        <v>0</v>
      </c>
      <c r="S178" s="12">
        <f>_xlfn.XLOOKUP(Tabell4[[#This Row],[Namn]],Blad3!A:A,Blad3!D:D)</f>
        <v>0</v>
      </c>
      <c r="T178" s="12">
        <f>_xlfn.XLOOKUP(Tabell4[[#This Row],[Namn]],Blad3!A:A,Blad3!E:E)</f>
        <v>3</v>
      </c>
      <c r="U178" s="12">
        <f>RANK(Tabell4[[#This Row],[SÄS]],Tabell4[SÄS])</f>
        <v>114</v>
      </c>
      <c r="V178" s="12">
        <f>_xlfn.XLOOKUP(Tabell4[[#This Row],[Namn]],Blad3!H:H,Blad3!I:I)</f>
        <v>0</v>
      </c>
      <c r="W178" s="12">
        <f>_xlfn.XLOOKUP(Tabell4[[#This Row],[Namn]],Blad3!H:H,Blad3!J:J)</f>
        <v>0</v>
      </c>
      <c r="X178" s="12">
        <f>_xlfn.XLOOKUP(Tabell4[[#This Row],[Namn]],Blad3!H:H,Blad3!K:K)</f>
        <v>0</v>
      </c>
      <c r="Y178" s="12">
        <f>_xlfn.XLOOKUP(Tabell4[[#This Row],[Namn]],Blad3!H:H,Blad3!L:L)</f>
        <v>0</v>
      </c>
    </row>
    <row r="179" spans="1:25" x14ac:dyDescent="0.25">
      <c r="A179" s="15">
        <f>Tabell4[[#This Row],[RANK MATCHER]]</f>
        <v>165</v>
      </c>
      <c r="B179" s="11" t="s">
        <v>383</v>
      </c>
      <c r="C179" s="12">
        <f>SUMIF('ALLA ÅR'!B:B,Tabell4[[#This Row],[Namn]],'ALLA ÅR'!C:C)</f>
        <v>2</v>
      </c>
      <c r="D179" s="12">
        <f>SUMIF('ALLA ÅR'!B:B,Tabell4[[#This Row],[Namn]],'ALLA ÅR'!E:E)</f>
        <v>0</v>
      </c>
      <c r="E179" s="12">
        <f>SUMIF('ALLA ÅR'!B:B,Tabell4[[#This Row],[Namn]],'ALLA ÅR'!F:F)</f>
        <v>0</v>
      </c>
      <c r="F179" s="12">
        <f>SUMIF('ALLA ÅR'!B:B,Tabell4[[#This Row],[Namn]],'ALLA ÅR'!G:G)</f>
        <v>2</v>
      </c>
      <c r="G179" s="12">
        <f>VLOOKUP(Tabell4[[#This Row],[Namn]],'ALLA ÅR'!B:J,9,0)</f>
        <v>2026</v>
      </c>
      <c r="H179" s="12">
        <f>COUNTIF('ALLA ÅR'!B:B,Tabell4[[#This Row],[Namn]])</f>
        <v>1</v>
      </c>
      <c r="I179" s="12">
        <f>VLOOKUP(Tabell4[[#This Row],[Namn]],'ALLA ÅR'!B:L,11,0)</f>
        <v>15</v>
      </c>
      <c r="J179" s="12">
        <f>RANK(Tabell4[[#This Row],[MÅL]],F:F)</f>
        <v>59</v>
      </c>
      <c r="K179" s="12">
        <f>RANK(Tabell4[[#This Row],[VAR]],D:D)</f>
        <v>54</v>
      </c>
      <c r="L179" s="12">
        <f>RANK(Tabell4[[#This Row],[MAT]],C:C)</f>
        <v>165</v>
      </c>
      <c r="M179" s="14">
        <f>Tabell4[[#This Row],[MAT]]/Tabell4[[#This Row],[ANTAL MATCHER]]</f>
        <v>0.5</v>
      </c>
      <c r="N179" s="12">
        <f>SUMIF('ALLA ÅR'!B:B,Tabell4[[#This Row],[Namn]],'ALLA ÅR'!H:H)</f>
        <v>4</v>
      </c>
      <c r="O179" s="12">
        <f>(Tabell4[[#This Row],[UTV]]*2)+Tabell4[[#This Row],[VAR]]</f>
        <v>0</v>
      </c>
      <c r="P179" s="12">
        <f>COUNTIF('100%'!B:B,Tabell4[[#This Row],[Namn]])</f>
        <v>0</v>
      </c>
      <c r="Q179" s="12">
        <f>_xlfn.XLOOKUP(Tabell4[[#This Row],[Namn]],Blad3!A:A,Blad3!B:B)</f>
        <v>0</v>
      </c>
      <c r="R179" s="12">
        <f>_xlfn.XLOOKUP(Tabell4[[#This Row],[Namn]],Blad3!A:A,Blad3!C:C)</f>
        <v>0</v>
      </c>
      <c r="S179" s="12">
        <f>_xlfn.XLOOKUP(Tabell4[[#This Row],[Namn]],Blad3!A:A,Blad3!D:D)</f>
        <v>0</v>
      </c>
      <c r="T179" s="12">
        <f>_xlfn.XLOOKUP(Tabell4[[#This Row],[Namn]],Blad3!A:A,Blad3!E:E)</f>
        <v>2</v>
      </c>
      <c r="U179" s="12">
        <f>RANK(Tabell4[[#This Row],[SÄS]],Tabell4[SÄS])</f>
        <v>114</v>
      </c>
      <c r="V179" s="12">
        <f>_xlfn.XLOOKUP(Tabell4[[#This Row],[Namn]],Blad3!H:H,Blad3!I:I)</f>
        <v>0</v>
      </c>
      <c r="W179" s="12">
        <f>_xlfn.XLOOKUP(Tabell4[[#This Row],[Namn]],Blad3!H:H,Blad3!J:J)</f>
        <v>0</v>
      </c>
      <c r="X179" s="12">
        <f>_xlfn.XLOOKUP(Tabell4[[#This Row],[Namn]],Blad3!H:H,Blad3!K:K)</f>
        <v>0</v>
      </c>
      <c r="Y179" s="12">
        <f>_xlfn.XLOOKUP(Tabell4[[#This Row],[Namn]],Blad3!H:H,Blad3!L:L)</f>
        <v>2</v>
      </c>
    </row>
    <row r="180" spans="1:25" x14ac:dyDescent="0.25">
      <c r="A180" s="15">
        <f>Tabell4[[#This Row],[RANK MATCHER]]</f>
        <v>165</v>
      </c>
      <c r="B180" s="11" t="s">
        <v>51</v>
      </c>
      <c r="C180" s="12">
        <f>SUMIF('ALLA ÅR'!B:B,Tabell4[[#This Row],[Namn]],'ALLA ÅR'!C:C)</f>
        <v>2</v>
      </c>
      <c r="D180" s="12">
        <f>SUMIF('ALLA ÅR'!B:B,Tabell4[[#This Row],[Namn]],'ALLA ÅR'!E:E)</f>
        <v>0</v>
      </c>
      <c r="E180" s="12">
        <f>SUMIF('ALLA ÅR'!B:B,Tabell4[[#This Row],[Namn]],'ALLA ÅR'!F:F)</f>
        <v>0</v>
      </c>
      <c r="F180" s="12">
        <f>SUMIF('ALLA ÅR'!B:B,Tabell4[[#This Row],[Namn]],'ALLA ÅR'!G:G)</f>
        <v>0</v>
      </c>
      <c r="G180" s="12">
        <f>VLOOKUP(Tabell4[[#This Row],[Namn]],'ALLA ÅR'!B:J,9,0)</f>
        <v>2025</v>
      </c>
      <c r="H180" s="12">
        <f>COUNTIF('ALLA ÅR'!B:B,Tabell4[[#This Row],[Namn]])</f>
        <v>1</v>
      </c>
      <c r="I180" s="12">
        <f>VLOOKUP(Tabell4[[#This Row],[Namn]],'ALLA ÅR'!B:L,11,0)</f>
        <v>19</v>
      </c>
      <c r="J180" s="12">
        <f>RANK(Tabell4[[#This Row],[MÅL]],F:F)</f>
        <v>107</v>
      </c>
      <c r="K180" s="12">
        <f>RANK(Tabell4[[#This Row],[VAR]],D:D)</f>
        <v>54</v>
      </c>
      <c r="L180" s="12">
        <f>RANK(Tabell4[[#This Row],[MAT]],C:C)</f>
        <v>165</v>
      </c>
      <c r="M180" s="14">
        <f>Tabell4[[#This Row],[MAT]]/Tabell4[[#This Row],[ANTAL MATCHER]]</f>
        <v>0.5</v>
      </c>
      <c r="N180" s="12">
        <f>SUMIF('ALLA ÅR'!B:B,Tabell4[[#This Row],[Namn]],'ALLA ÅR'!H:H)</f>
        <v>4</v>
      </c>
      <c r="O180" s="12">
        <f>(Tabell4[[#This Row],[UTV]]*2)+Tabell4[[#This Row],[VAR]]</f>
        <v>0</v>
      </c>
      <c r="P180" s="12">
        <f>COUNTIF('100%'!B:B,Tabell4[[#This Row],[Namn]])</f>
        <v>0</v>
      </c>
      <c r="Q180" s="12">
        <f>_xlfn.XLOOKUP(Tabell4[[#This Row],[Namn]],Blad3!A:A,Blad3!B:B)</f>
        <v>0</v>
      </c>
      <c r="R180" s="12">
        <f>_xlfn.XLOOKUP(Tabell4[[#This Row],[Namn]],Blad3!A:A,Blad3!C:C)</f>
        <v>2</v>
      </c>
      <c r="S180" s="12">
        <f>_xlfn.XLOOKUP(Tabell4[[#This Row],[Namn]],Blad3!A:A,Blad3!D:D)</f>
        <v>0</v>
      </c>
      <c r="T180" s="12">
        <f>_xlfn.XLOOKUP(Tabell4[[#This Row],[Namn]],Blad3!A:A,Blad3!E:E)</f>
        <v>0</v>
      </c>
      <c r="U180" s="12">
        <f>RANK(Tabell4[[#This Row],[SÄS]],Tabell4[SÄS])</f>
        <v>114</v>
      </c>
      <c r="V180" s="12">
        <f>_xlfn.XLOOKUP(Tabell4[[#This Row],[Namn]],Blad3!H:H,Blad3!I:I)</f>
        <v>0</v>
      </c>
      <c r="W180" s="12">
        <f>_xlfn.XLOOKUP(Tabell4[[#This Row],[Namn]],Blad3!H:H,Blad3!J:J)</f>
        <v>0</v>
      </c>
      <c r="X180" s="12">
        <f>_xlfn.XLOOKUP(Tabell4[[#This Row],[Namn]],Blad3!H:H,Blad3!K:K)</f>
        <v>0</v>
      </c>
      <c r="Y180" s="12">
        <f>_xlfn.XLOOKUP(Tabell4[[#This Row],[Namn]],Blad3!H:H,Blad3!L:L)</f>
        <v>0</v>
      </c>
    </row>
    <row r="181" spans="1:25" x14ac:dyDescent="0.25">
      <c r="A181" s="15">
        <f>Tabell4[[#This Row],[RANK MATCHER]]</f>
        <v>165</v>
      </c>
      <c r="B181" s="11" t="s">
        <v>88</v>
      </c>
      <c r="C181" s="12">
        <f>SUMIF('ALLA ÅR'!B:B,Tabell4[[#This Row],[Namn]],'ALLA ÅR'!C:C)</f>
        <v>2</v>
      </c>
      <c r="D181" s="12">
        <f>SUMIF('ALLA ÅR'!B:B,Tabell4[[#This Row],[Namn]],'ALLA ÅR'!E:E)</f>
        <v>0</v>
      </c>
      <c r="E181" s="12">
        <f>SUMIF('ALLA ÅR'!B:B,Tabell4[[#This Row],[Namn]],'ALLA ÅR'!F:F)</f>
        <v>0</v>
      </c>
      <c r="F181" s="12">
        <f>SUMIF('ALLA ÅR'!B:B,Tabell4[[#This Row],[Namn]],'ALLA ÅR'!G:G)</f>
        <v>0</v>
      </c>
      <c r="G181" s="12">
        <f>VLOOKUP(Tabell4[[#This Row],[Namn]],'ALLA ÅR'!B:J,9,0)</f>
        <v>2022</v>
      </c>
      <c r="H181" s="12">
        <f>COUNTIF('ALLA ÅR'!B:B,Tabell4[[#This Row],[Namn]])</f>
        <v>1</v>
      </c>
      <c r="I181" s="12">
        <f>VLOOKUP(Tabell4[[#This Row],[Namn]],'ALLA ÅR'!B:L,11,0)</f>
        <v>18</v>
      </c>
      <c r="J181" s="12">
        <f>RANK(Tabell4[[#This Row],[MÅL]],F:F)</f>
        <v>107</v>
      </c>
      <c r="K181" s="12">
        <f>RANK(Tabell4[[#This Row],[VAR]],D:D)</f>
        <v>54</v>
      </c>
      <c r="L181" s="12">
        <f>RANK(Tabell4[[#This Row],[MAT]],C:C)</f>
        <v>165</v>
      </c>
      <c r="M181" s="14">
        <f>Tabell4[[#This Row],[MAT]]/Tabell4[[#This Row],[ANTAL MATCHER]]</f>
        <v>6.8965517241379309E-2</v>
      </c>
      <c r="N181" s="12">
        <f>SUMIF('ALLA ÅR'!B:B,Tabell4[[#This Row],[Namn]],'ALLA ÅR'!H:H)</f>
        <v>29</v>
      </c>
      <c r="O181" s="12">
        <f>(Tabell4[[#This Row],[UTV]]*2)+Tabell4[[#This Row],[VAR]]</f>
        <v>0</v>
      </c>
      <c r="P181" s="12">
        <f>COUNTIF('100%'!B:B,Tabell4[[#This Row],[Namn]])</f>
        <v>0</v>
      </c>
      <c r="Q181" s="12">
        <f>_xlfn.XLOOKUP(Tabell4[[#This Row],[Namn]],Blad3!A:A,Blad3!B:B)</f>
        <v>0</v>
      </c>
      <c r="R181" s="12">
        <f>_xlfn.XLOOKUP(Tabell4[[#This Row],[Namn]],Blad3!A:A,Blad3!C:C)</f>
        <v>2</v>
      </c>
      <c r="S181" s="12">
        <f>_xlfn.XLOOKUP(Tabell4[[#This Row],[Namn]],Blad3!A:A,Blad3!D:D)</f>
        <v>0</v>
      </c>
      <c r="T181" s="12">
        <f>_xlfn.XLOOKUP(Tabell4[[#This Row],[Namn]],Blad3!A:A,Blad3!E:E)</f>
        <v>0</v>
      </c>
      <c r="U181" s="12">
        <f>RANK(Tabell4[[#This Row],[SÄS]],Tabell4[SÄS])</f>
        <v>114</v>
      </c>
      <c r="V181" s="12">
        <f>_xlfn.XLOOKUP(Tabell4[[#This Row],[Namn]],Blad3!H:H,Blad3!I:I)</f>
        <v>0</v>
      </c>
      <c r="W181" s="12">
        <f>_xlfn.XLOOKUP(Tabell4[[#This Row],[Namn]],Blad3!H:H,Blad3!J:J)</f>
        <v>0</v>
      </c>
      <c r="X181" s="12">
        <f>_xlfn.XLOOKUP(Tabell4[[#This Row],[Namn]],Blad3!H:H,Blad3!K:K)</f>
        <v>0</v>
      </c>
      <c r="Y181" s="12">
        <f>_xlfn.XLOOKUP(Tabell4[[#This Row],[Namn]],Blad3!H:H,Blad3!L:L)</f>
        <v>0</v>
      </c>
    </row>
    <row r="182" spans="1:25" x14ac:dyDescent="0.25">
      <c r="A182" s="15">
        <f>Tabell4[[#This Row],[RANK MATCHER]]</f>
        <v>165</v>
      </c>
      <c r="B182" s="11" t="s">
        <v>110</v>
      </c>
      <c r="C182" s="12">
        <f>SUMIF('ALLA ÅR'!B:B,Tabell4[[#This Row],[Namn]],'ALLA ÅR'!C:C)</f>
        <v>2</v>
      </c>
      <c r="D182" s="12">
        <f>SUMIF('ALLA ÅR'!B:B,Tabell4[[#This Row],[Namn]],'ALLA ÅR'!E:E)</f>
        <v>0</v>
      </c>
      <c r="E182" s="12">
        <f>SUMIF('ALLA ÅR'!B:B,Tabell4[[#This Row],[Namn]],'ALLA ÅR'!F:F)</f>
        <v>0</v>
      </c>
      <c r="F182" s="12">
        <f>SUMIF('ALLA ÅR'!B:B,Tabell4[[#This Row],[Namn]],'ALLA ÅR'!G:G)</f>
        <v>0</v>
      </c>
      <c r="G182" s="12">
        <f>VLOOKUP(Tabell4[[#This Row],[Namn]],'ALLA ÅR'!B:J,9,0)</f>
        <v>2019</v>
      </c>
      <c r="H182" s="12">
        <f>COUNTIF('ALLA ÅR'!B:B,Tabell4[[#This Row],[Namn]])</f>
        <v>1</v>
      </c>
      <c r="I182" s="12">
        <f>VLOOKUP(Tabell4[[#This Row],[Namn]],'ALLA ÅR'!B:L,11,0)</f>
        <v>41</v>
      </c>
      <c r="J182" s="12">
        <f>RANK(Tabell4[[#This Row],[MÅL]],F:F)</f>
        <v>107</v>
      </c>
      <c r="K182" s="12">
        <f>RANK(Tabell4[[#This Row],[VAR]],D:D)</f>
        <v>54</v>
      </c>
      <c r="L182" s="12">
        <f>RANK(Tabell4[[#This Row],[MAT]],C:C)</f>
        <v>165</v>
      </c>
      <c r="M182" s="14">
        <f>Tabell4[[#This Row],[MAT]]/Tabell4[[#This Row],[ANTAL MATCHER]]</f>
        <v>7.6923076923076927E-2</v>
      </c>
      <c r="N182" s="12">
        <f>SUMIF('ALLA ÅR'!B:B,Tabell4[[#This Row],[Namn]],'ALLA ÅR'!H:H)</f>
        <v>26</v>
      </c>
      <c r="O182" s="12">
        <f>(Tabell4[[#This Row],[UTV]]*2)+Tabell4[[#This Row],[VAR]]</f>
        <v>0</v>
      </c>
      <c r="P182" s="12">
        <f>COUNTIF('100%'!B:B,Tabell4[[#This Row],[Namn]])</f>
        <v>0</v>
      </c>
      <c r="Q182" s="12">
        <f>_xlfn.XLOOKUP(Tabell4[[#This Row],[Namn]],Blad3!A:A,Blad3!B:B)</f>
        <v>0</v>
      </c>
      <c r="R182" s="12">
        <f>_xlfn.XLOOKUP(Tabell4[[#This Row],[Namn]],Blad3!A:A,Blad3!C:C)</f>
        <v>2</v>
      </c>
      <c r="S182" s="12">
        <f>_xlfn.XLOOKUP(Tabell4[[#This Row],[Namn]],Blad3!A:A,Blad3!D:D)</f>
        <v>0</v>
      </c>
      <c r="T182" s="12">
        <f>_xlfn.XLOOKUP(Tabell4[[#This Row],[Namn]],Blad3!A:A,Blad3!E:E)</f>
        <v>0</v>
      </c>
      <c r="U182" s="12">
        <f>RANK(Tabell4[[#This Row],[SÄS]],Tabell4[SÄS])</f>
        <v>114</v>
      </c>
      <c r="V182" s="12">
        <f>_xlfn.XLOOKUP(Tabell4[[#This Row],[Namn]],Blad3!H:H,Blad3!I:I)</f>
        <v>0</v>
      </c>
      <c r="W182" s="12">
        <f>_xlfn.XLOOKUP(Tabell4[[#This Row],[Namn]],Blad3!H:H,Blad3!J:J)</f>
        <v>0</v>
      </c>
      <c r="X182" s="12">
        <f>_xlfn.XLOOKUP(Tabell4[[#This Row],[Namn]],Blad3!H:H,Blad3!K:K)</f>
        <v>0</v>
      </c>
      <c r="Y182" s="12">
        <f>_xlfn.XLOOKUP(Tabell4[[#This Row],[Namn]],Blad3!H:H,Blad3!L:L)</f>
        <v>0</v>
      </c>
    </row>
    <row r="183" spans="1:25" x14ac:dyDescent="0.25">
      <c r="A183" s="15">
        <f>Tabell4[[#This Row],[RANK MATCHER]]</f>
        <v>165</v>
      </c>
      <c r="B183" s="11" t="s">
        <v>144</v>
      </c>
      <c r="C183" s="12">
        <f>SUMIF('ALLA ÅR'!B:B,Tabell4[[#This Row],[Namn]],'ALLA ÅR'!C:C)</f>
        <v>2</v>
      </c>
      <c r="D183" s="12">
        <f>SUMIF('ALLA ÅR'!B:B,Tabell4[[#This Row],[Namn]],'ALLA ÅR'!E:E)</f>
        <v>0</v>
      </c>
      <c r="E183" s="12">
        <f>SUMIF('ALLA ÅR'!B:B,Tabell4[[#This Row],[Namn]],'ALLA ÅR'!F:F)</f>
        <v>0</v>
      </c>
      <c r="F183" s="12">
        <f>SUMIF('ALLA ÅR'!B:B,Tabell4[[#This Row],[Namn]],'ALLA ÅR'!G:G)</f>
        <v>0</v>
      </c>
      <c r="G183" s="12">
        <f>VLOOKUP(Tabell4[[#This Row],[Namn]],'ALLA ÅR'!B:J,9,0)</f>
        <v>2016</v>
      </c>
      <c r="H183" s="12">
        <f>COUNTIF('ALLA ÅR'!B:B,Tabell4[[#This Row],[Namn]])</f>
        <v>1</v>
      </c>
      <c r="I183" s="12">
        <f>VLOOKUP(Tabell4[[#This Row],[Namn]],'ALLA ÅR'!B:L,11,0)</f>
        <v>15</v>
      </c>
      <c r="J183" s="12">
        <f>RANK(Tabell4[[#This Row],[MÅL]],F:F)</f>
        <v>107</v>
      </c>
      <c r="K183" s="12">
        <f>RANK(Tabell4[[#This Row],[VAR]],D:D)</f>
        <v>54</v>
      </c>
      <c r="L183" s="12">
        <f>RANK(Tabell4[[#This Row],[MAT]],C:C)</f>
        <v>165</v>
      </c>
      <c r="M183" s="14">
        <f>Tabell4[[#This Row],[MAT]]/Tabell4[[#This Row],[ANTAL MATCHER]]</f>
        <v>0.125</v>
      </c>
      <c r="N183" s="12">
        <f>SUMIF('ALLA ÅR'!B:B,Tabell4[[#This Row],[Namn]],'ALLA ÅR'!H:H)</f>
        <v>16</v>
      </c>
      <c r="O183" s="12">
        <f>(Tabell4[[#This Row],[UTV]]*2)+Tabell4[[#This Row],[VAR]]</f>
        <v>0</v>
      </c>
      <c r="P183" s="12">
        <f>COUNTIF('100%'!B:B,Tabell4[[#This Row],[Namn]])</f>
        <v>0</v>
      </c>
      <c r="Q183" s="12">
        <f>_xlfn.XLOOKUP(Tabell4[[#This Row],[Namn]],Blad3!A:A,Blad3!B:B)</f>
        <v>0</v>
      </c>
      <c r="R183" s="12">
        <f>_xlfn.XLOOKUP(Tabell4[[#This Row],[Namn]],Blad3!A:A,Blad3!C:C)</f>
        <v>0</v>
      </c>
      <c r="S183" s="12">
        <f>_xlfn.XLOOKUP(Tabell4[[#This Row],[Namn]],Blad3!A:A,Blad3!D:D)</f>
        <v>0</v>
      </c>
      <c r="T183" s="12">
        <f>_xlfn.XLOOKUP(Tabell4[[#This Row],[Namn]],Blad3!A:A,Blad3!E:E)</f>
        <v>2</v>
      </c>
      <c r="U183" s="12">
        <f>RANK(Tabell4[[#This Row],[SÄS]],Tabell4[SÄS])</f>
        <v>114</v>
      </c>
      <c r="V183" s="12">
        <f>_xlfn.XLOOKUP(Tabell4[[#This Row],[Namn]],Blad3!H:H,Blad3!I:I)</f>
        <v>0</v>
      </c>
      <c r="W183" s="12">
        <f>_xlfn.XLOOKUP(Tabell4[[#This Row],[Namn]],Blad3!H:H,Blad3!J:J)</f>
        <v>0</v>
      </c>
      <c r="X183" s="12">
        <f>_xlfn.XLOOKUP(Tabell4[[#This Row],[Namn]],Blad3!H:H,Blad3!K:K)</f>
        <v>0</v>
      </c>
      <c r="Y183" s="12">
        <f>_xlfn.XLOOKUP(Tabell4[[#This Row],[Namn]],Blad3!H:H,Blad3!L:L)</f>
        <v>0</v>
      </c>
    </row>
    <row r="184" spans="1:25" x14ac:dyDescent="0.25">
      <c r="A184" s="15">
        <f>Tabell4[[#This Row],[RANK MATCHER]]</f>
        <v>165</v>
      </c>
      <c r="B184" s="11" t="s">
        <v>145</v>
      </c>
      <c r="C184" s="12">
        <f>SUMIF('ALLA ÅR'!B:B,Tabell4[[#This Row],[Namn]],'ALLA ÅR'!C:C)</f>
        <v>2</v>
      </c>
      <c r="D184" s="12">
        <f>SUMIF('ALLA ÅR'!B:B,Tabell4[[#This Row],[Namn]],'ALLA ÅR'!E:E)</f>
        <v>0</v>
      </c>
      <c r="E184" s="12">
        <f>SUMIF('ALLA ÅR'!B:B,Tabell4[[#This Row],[Namn]],'ALLA ÅR'!F:F)</f>
        <v>0</v>
      </c>
      <c r="F184" s="12">
        <f>SUMIF('ALLA ÅR'!B:B,Tabell4[[#This Row],[Namn]],'ALLA ÅR'!G:G)</f>
        <v>0</v>
      </c>
      <c r="G184" s="12">
        <f>VLOOKUP(Tabell4[[#This Row],[Namn]],'ALLA ÅR'!B:J,9,0)</f>
        <v>2016</v>
      </c>
      <c r="H184" s="12">
        <f>COUNTIF('ALLA ÅR'!B:B,Tabell4[[#This Row],[Namn]])</f>
        <v>1</v>
      </c>
      <c r="I184" s="12">
        <f>VLOOKUP(Tabell4[[#This Row],[Namn]],'ALLA ÅR'!B:L,11,0)</f>
        <v>17</v>
      </c>
      <c r="J184" s="12">
        <f>RANK(Tabell4[[#This Row],[MÅL]],F:F)</f>
        <v>107</v>
      </c>
      <c r="K184" s="12">
        <f>RANK(Tabell4[[#This Row],[VAR]],D:D)</f>
        <v>54</v>
      </c>
      <c r="L184" s="12">
        <f>RANK(Tabell4[[#This Row],[MAT]],C:C)</f>
        <v>165</v>
      </c>
      <c r="M184" s="14">
        <f>Tabell4[[#This Row],[MAT]]/Tabell4[[#This Row],[ANTAL MATCHER]]</f>
        <v>0.125</v>
      </c>
      <c r="N184" s="12">
        <f>SUMIF('ALLA ÅR'!B:B,Tabell4[[#This Row],[Namn]],'ALLA ÅR'!H:H)</f>
        <v>16</v>
      </c>
      <c r="O184" s="12">
        <f>(Tabell4[[#This Row],[UTV]]*2)+Tabell4[[#This Row],[VAR]]</f>
        <v>0</v>
      </c>
      <c r="P184" s="12">
        <f>COUNTIF('100%'!B:B,Tabell4[[#This Row],[Namn]])</f>
        <v>0</v>
      </c>
      <c r="Q184" s="12">
        <f>_xlfn.XLOOKUP(Tabell4[[#This Row],[Namn]],Blad3!A:A,Blad3!B:B)</f>
        <v>0</v>
      </c>
      <c r="R184" s="12">
        <f>_xlfn.XLOOKUP(Tabell4[[#This Row],[Namn]],Blad3!A:A,Blad3!C:C)</f>
        <v>0</v>
      </c>
      <c r="S184" s="12">
        <f>_xlfn.XLOOKUP(Tabell4[[#This Row],[Namn]],Blad3!A:A,Blad3!D:D)</f>
        <v>0</v>
      </c>
      <c r="T184" s="12">
        <f>_xlfn.XLOOKUP(Tabell4[[#This Row],[Namn]],Blad3!A:A,Blad3!E:E)</f>
        <v>2</v>
      </c>
      <c r="U184" s="12">
        <f>RANK(Tabell4[[#This Row],[SÄS]],Tabell4[SÄS])</f>
        <v>114</v>
      </c>
      <c r="V184" s="12">
        <f>_xlfn.XLOOKUP(Tabell4[[#This Row],[Namn]],Blad3!H:H,Blad3!I:I)</f>
        <v>0</v>
      </c>
      <c r="W184" s="12">
        <f>_xlfn.XLOOKUP(Tabell4[[#This Row],[Namn]],Blad3!H:H,Blad3!J:J)</f>
        <v>0</v>
      </c>
      <c r="X184" s="12">
        <f>_xlfn.XLOOKUP(Tabell4[[#This Row],[Namn]],Blad3!H:H,Blad3!K:K)</f>
        <v>0</v>
      </c>
      <c r="Y184" s="12">
        <f>_xlfn.XLOOKUP(Tabell4[[#This Row],[Namn]],Blad3!H:H,Blad3!L:L)</f>
        <v>0</v>
      </c>
    </row>
    <row r="185" spans="1:25" x14ac:dyDescent="0.25">
      <c r="A185" s="15">
        <f>Tabell4[[#This Row],[RANK MATCHER]]</f>
        <v>165</v>
      </c>
      <c r="B185" s="11" t="s">
        <v>165</v>
      </c>
      <c r="C185" s="12">
        <f>SUMIF('ALLA ÅR'!B:B,Tabell4[[#This Row],[Namn]],'ALLA ÅR'!C:C)</f>
        <v>2</v>
      </c>
      <c r="D185" s="12">
        <f>SUMIF('ALLA ÅR'!B:B,Tabell4[[#This Row],[Namn]],'ALLA ÅR'!E:E)</f>
        <v>0</v>
      </c>
      <c r="E185" s="12">
        <f>SUMIF('ALLA ÅR'!B:B,Tabell4[[#This Row],[Namn]],'ALLA ÅR'!F:F)</f>
        <v>0</v>
      </c>
      <c r="F185" s="12">
        <f>SUMIF('ALLA ÅR'!B:B,Tabell4[[#This Row],[Namn]],'ALLA ÅR'!G:G)</f>
        <v>1</v>
      </c>
      <c r="G185" s="12">
        <f>VLOOKUP(Tabell4[[#This Row],[Namn]],'ALLA ÅR'!B:J,9,0)</f>
        <v>2015</v>
      </c>
      <c r="H185" s="12">
        <f>COUNTIF('ALLA ÅR'!B:B,Tabell4[[#This Row],[Namn]])</f>
        <v>1</v>
      </c>
      <c r="I185" s="12">
        <f>VLOOKUP(Tabell4[[#This Row],[Namn]],'ALLA ÅR'!B:L,11,0)</f>
        <v>14</v>
      </c>
      <c r="J185" s="12">
        <f>RANK(Tabell4[[#This Row],[MÅL]],F:F)</f>
        <v>67</v>
      </c>
      <c r="K185" s="12">
        <f>RANK(Tabell4[[#This Row],[VAR]],D:D)</f>
        <v>54</v>
      </c>
      <c r="L185" s="12">
        <f>RANK(Tabell4[[#This Row],[MAT]],C:C)</f>
        <v>165</v>
      </c>
      <c r="M185" s="14">
        <f>Tabell4[[#This Row],[MAT]]/Tabell4[[#This Row],[ANTAL MATCHER]]</f>
        <v>8.6956521739130432E-2</v>
      </c>
      <c r="N185" s="12">
        <f>SUMIF('ALLA ÅR'!B:B,Tabell4[[#This Row],[Namn]],'ALLA ÅR'!H:H)</f>
        <v>23</v>
      </c>
      <c r="O185" s="12">
        <f>(Tabell4[[#This Row],[UTV]]*2)+Tabell4[[#This Row],[VAR]]</f>
        <v>0</v>
      </c>
      <c r="P185" s="12">
        <f>COUNTIF('100%'!B:B,Tabell4[[#This Row],[Namn]])</f>
        <v>0</v>
      </c>
      <c r="Q185" s="12">
        <f>_xlfn.XLOOKUP(Tabell4[[#This Row],[Namn]],Blad3!A:A,Blad3!B:B)</f>
        <v>0</v>
      </c>
      <c r="R185" s="12">
        <f>_xlfn.XLOOKUP(Tabell4[[#This Row],[Namn]],Blad3!A:A,Blad3!C:C)</f>
        <v>0</v>
      </c>
      <c r="S185" s="12">
        <f>_xlfn.XLOOKUP(Tabell4[[#This Row],[Namn]],Blad3!A:A,Blad3!D:D)</f>
        <v>0</v>
      </c>
      <c r="T185" s="12">
        <f>_xlfn.XLOOKUP(Tabell4[[#This Row],[Namn]],Blad3!A:A,Blad3!E:E)</f>
        <v>2</v>
      </c>
      <c r="U185" s="12">
        <f>RANK(Tabell4[[#This Row],[SÄS]],Tabell4[SÄS])</f>
        <v>114</v>
      </c>
      <c r="V185" s="12">
        <f>_xlfn.XLOOKUP(Tabell4[[#This Row],[Namn]],Blad3!H:H,Blad3!I:I)</f>
        <v>0</v>
      </c>
      <c r="W185" s="12">
        <f>_xlfn.XLOOKUP(Tabell4[[#This Row],[Namn]],Blad3!H:H,Blad3!J:J)</f>
        <v>0</v>
      </c>
      <c r="X185" s="12">
        <f>_xlfn.XLOOKUP(Tabell4[[#This Row],[Namn]],Blad3!H:H,Blad3!K:K)</f>
        <v>0</v>
      </c>
      <c r="Y185" s="12">
        <f>_xlfn.XLOOKUP(Tabell4[[#This Row],[Namn]],Blad3!H:H,Blad3!L:L)</f>
        <v>1</v>
      </c>
    </row>
    <row r="186" spans="1:25" x14ac:dyDescent="0.25">
      <c r="A186" s="15">
        <f>Tabell4[[#This Row],[RANK MATCHER]]</f>
        <v>165</v>
      </c>
      <c r="B186" s="11" t="s">
        <v>166</v>
      </c>
      <c r="C186" s="12">
        <f>SUMIF('ALLA ÅR'!B:B,Tabell4[[#This Row],[Namn]],'ALLA ÅR'!C:C)</f>
        <v>2</v>
      </c>
      <c r="D186" s="12">
        <f>SUMIF('ALLA ÅR'!B:B,Tabell4[[#This Row],[Namn]],'ALLA ÅR'!E:E)</f>
        <v>0</v>
      </c>
      <c r="E186" s="12">
        <f>SUMIF('ALLA ÅR'!B:B,Tabell4[[#This Row],[Namn]],'ALLA ÅR'!F:F)</f>
        <v>0</v>
      </c>
      <c r="F186" s="12">
        <f>SUMIF('ALLA ÅR'!B:B,Tabell4[[#This Row],[Namn]],'ALLA ÅR'!G:G)</f>
        <v>0</v>
      </c>
      <c r="G186" s="12">
        <f>VLOOKUP(Tabell4[[#This Row],[Namn]],'ALLA ÅR'!B:J,9,0)</f>
        <v>2015</v>
      </c>
      <c r="H186" s="12">
        <f>COUNTIF('ALLA ÅR'!B:B,Tabell4[[#This Row],[Namn]])</f>
        <v>1</v>
      </c>
      <c r="I186" s="12">
        <f>VLOOKUP(Tabell4[[#This Row],[Namn]],'ALLA ÅR'!B:L,11,0)</f>
        <v>15</v>
      </c>
      <c r="J186" s="12">
        <f>RANK(Tabell4[[#This Row],[MÅL]],F:F)</f>
        <v>107</v>
      </c>
      <c r="K186" s="12">
        <f>RANK(Tabell4[[#This Row],[VAR]],D:D)</f>
        <v>54</v>
      </c>
      <c r="L186" s="12">
        <f>RANK(Tabell4[[#This Row],[MAT]],C:C)</f>
        <v>165</v>
      </c>
      <c r="M186" s="14">
        <f>Tabell4[[#This Row],[MAT]]/Tabell4[[#This Row],[ANTAL MATCHER]]</f>
        <v>8.6956521739130432E-2</v>
      </c>
      <c r="N186" s="12">
        <f>SUMIF('ALLA ÅR'!B:B,Tabell4[[#This Row],[Namn]],'ALLA ÅR'!H:H)</f>
        <v>23</v>
      </c>
      <c r="O186" s="12">
        <f>(Tabell4[[#This Row],[UTV]]*2)+Tabell4[[#This Row],[VAR]]</f>
        <v>0</v>
      </c>
      <c r="P186" s="12">
        <f>COUNTIF('100%'!B:B,Tabell4[[#This Row],[Namn]])</f>
        <v>0</v>
      </c>
      <c r="Q186" s="12">
        <f>_xlfn.XLOOKUP(Tabell4[[#This Row],[Namn]],Blad3!A:A,Blad3!B:B)</f>
        <v>0</v>
      </c>
      <c r="R186" s="12">
        <f>_xlfn.XLOOKUP(Tabell4[[#This Row],[Namn]],Blad3!A:A,Blad3!C:C)</f>
        <v>0</v>
      </c>
      <c r="S186" s="12">
        <f>_xlfn.XLOOKUP(Tabell4[[#This Row],[Namn]],Blad3!A:A,Blad3!D:D)</f>
        <v>0</v>
      </c>
      <c r="T186" s="12">
        <f>_xlfn.XLOOKUP(Tabell4[[#This Row],[Namn]],Blad3!A:A,Blad3!E:E)</f>
        <v>2</v>
      </c>
      <c r="U186" s="12">
        <f>RANK(Tabell4[[#This Row],[SÄS]],Tabell4[SÄS])</f>
        <v>114</v>
      </c>
      <c r="V186" s="12">
        <f>_xlfn.XLOOKUP(Tabell4[[#This Row],[Namn]],Blad3!H:H,Blad3!I:I)</f>
        <v>0</v>
      </c>
      <c r="W186" s="12">
        <f>_xlfn.XLOOKUP(Tabell4[[#This Row],[Namn]],Blad3!H:H,Blad3!J:J)</f>
        <v>0</v>
      </c>
      <c r="X186" s="12">
        <f>_xlfn.XLOOKUP(Tabell4[[#This Row],[Namn]],Blad3!H:H,Blad3!K:K)</f>
        <v>0</v>
      </c>
      <c r="Y186" s="12">
        <f>_xlfn.XLOOKUP(Tabell4[[#This Row],[Namn]],Blad3!H:H,Blad3!L:L)</f>
        <v>0</v>
      </c>
    </row>
    <row r="187" spans="1:25" x14ac:dyDescent="0.25">
      <c r="A187" s="15">
        <f>Tabell4[[#This Row],[RANK MATCHER]]</f>
        <v>165</v>
      </c>
      <c r="B187" s="11" t="s">
        <v>180</v>
      </c>
      <c r="C187" s="12">
        <f>SUMIF('ALLA ÅR'!B:B,Tabell4[[#This Row],[Namn]],'ALLA ÅR'!C:C)</f>
        <v>2</v>
      </c>
      <c r="D187" s="12">
        <f>SUMIF('ALLA ÅR'!B:B,Tabell4[[#This Row],[Namn]],'ALLA ÅR'!E:E)</f>
        <v>0</v>
      </c>
      <c r="E187" s="12">
        <f>SUMIF('ALLA ÅR'!B:B,Tabell4[[#This Row],[Namn]],'ALLA ÅR'!F:F)</f>
        <v>0</v>
      </c>
      <c r="F187" s="12">
        <f>SUMIF('ALLA ÅR'!B:B,Tabell4[[#This Row],[Namn]],'ALLA ÅR'!G:G)</f>
        <v>0</v>
      </c>
      <c r="G187" s="12">
        <f>VLOOKUP(Tabell4[[#This Row],[Namn]],'ALLA ÅR'!B:J,9,0)</f>
        <v>2013</v>
      </c>
      <c r="H187" s="12">
        <f>COUNTIF('ALLA ÅR'!B:B,Tabell4[[#This Row],[Namn]])</f>
        <v>2</v>
      </c>
      <c r="I187" s="12">
        <f>VLOOKUP(Tabell4[[#This Row],[Namn]],'ALLA ÅR'!B:L,11,0)</f>
        <v>14</v>
      </c>
      <c r="J187" s="12">
        <f>RANK(Tabell4[[#This Row],[MÅL]],F:F)</f>
        <v>107</v>
      </c>
      <c r="K187" s="12">
        <f>RANK(Tabell4[[#This Row],[VAR]],D:D)</f>
        <v>54</v>
      </c>
      <c r="L187" s="12">
        <f>RANK(Tabell4[[#This Row],[MAT]],C:C)</f>
        <v>165</v>
      </c>
      <c r="M187" s="14">
        <f>Tabell4[[#This Row],[MAT]]/Tabell4[[#This Row],[ANTAL MATCHER]]</f>
        <v>6.25E-2</v>
      </c>
      <c r="N187" s="12">
        <f>SUMIF('ALLA ÅR'!B:B,Tabell4[[#This Row],[Namn]],'ALLA ÅR'!H:H)</f>
        <v>32</v>
      </c>
      <c r="O187" s="12">
        <f>(Tabell4[[#This Row],[UTV]]*2)+Tabell4[[#This Row],[VAR]]</f>
        <v>0</v>
      </c>
      <c r="P187" s="12">
        <f>COUNTIF('100%'!B:B,Tabell4[[#This Row],[Namn]])</f>
        <v>0</v>
      </c>
      <c r="Q187" s="12">
        <f>_xlfn.XLOOKUP(Tabell4[[#This Row],[Namn]],Blad3!A:A,Blad3!B:B)</f>
        <v>0</v>
      </c>
      <c r="R187" s="12">
        <f>_xlfn.XLOOKUP(Tabell4[[#This Row],[Namn]],Blad3!A:A,Blad3!C:C)</f>
        <v>0</v>
      </c>
      <c r="S187" s="12">
        <f>_xlfn.XLOOKUP(Tabell4[[#This Row],[Namn]],Blad3!A:A,Blad3!D:D)</f>
        <v>0</v>
      </c>
      <c r="T187" s="12">
        <f>_xlfn.XLOOKUP(Tabell4[[#This Row],[Namn]],Blad3!A:A,Blad3!E:E)</f>
        <v>2</v>
      </c>
      <c r="U187" s="12">
        <f>RANK(Tabell4[[#This Row],[SÄS]],Tabell4[SÄS])</f>
        <v>61</v>
      </c>
      <c r="V187" s="12">
        <f>_xlfn.XLOOKUP(Tabell4[[#This Row],[Namn]],Blad3!H:H,Blad3!I:I)</f>
        <v>0</v>
      </c>
      <c r="W187" s="12">
        <f>_xlfn.XLOOKUP(Tabell4[[#This Row],[Namn]],Blad3!H:H,Blad3!J:J)</f>
        <v>0</v>
      </c>
      <c r="X187" s="12">
        <f>_xlfn.XLOOKUP(Tabell4[[#This Row],[Namn]],Blad3!H:H,Blad3!K:K)</f>
        <v>0</v>
      </c>
      <c r="Y187" s="12">
        <f>_xlfn.XLOOKUP(Tabell4[[#This Row],[Namn]],Blad3!H:H,Blad3!L:L)</f>
        <v>0</v>
      </c>
    </row>
    <row r="188" spans="1:25" x14ac:dyDescent="0.25">
      <c r="A188" s="15">
        <f>Tabell4[[#This Row],[RANK MATCHER]]</f>
        <v>174</v>
      </c>
      <c r="B188" s="11" t="s">
        <v>35</v>
      </c>
      <c r="C188" s="12">
        <f>SUMIF('ALLA ÅR'!B:B,Tabell4[[#This Row],[Namn]],'ALLA ÅR'!C:C)</f>
        <v>1</v>
      </c>
      <c r="D188" s="12">
        <f>SUMIF('ALLA ÅR'!B:B,Tabell4[[#This Row],[Namn]],'ALLA ÅR'!E:E)</f>
        <v>0</v>
      </c>
      <c r="E188" s="12">
        <f>SUMIF('ALLA ÅR'!B:B,Tabell4[[#This Row],[Namn]],'ALLA ÅR'!F:F)</f>
        <v>0</v>
      </c>
      <c r="F188" s="12">
        <f>SUMIF('ALLA ÅR'!B:B,Tabell4[[#This Row],[Namn]],'ALLA ÅR'!G:G)</f>
        <v>0</v>
      </c>
      <c r="G188" s="12">
        <f>VLOOKUP(Tabell4[[#This Row],[Namn]],'ALLA ÅR'!B:J,9,0)</f>
        <v>2026</v>
      </c>
      <c r="H188" s="12">
        <f>COUNTIF('ALLA ÅR'!B:B,Tabell4[[#This Row],[Namn]])</f>
        <v>2</v>
      </c>
      <c r="I188" s="12">
        <f>VLOOKUP(Tabell4[[#This Row],[Namn]],'ALLA ÅR'!B:L,11,0)</f>
        <v>16</v>
      </c>
      <c r="J188" s="12">
        <f>RANK(Tabell4[[#This Row],[MÅL]],F:F)</f>
        <v>107</v>
      </c>
      <c r="K188" s="12">
        <f>RANK(Tabell4[[#This Row],[VAR]],D:D)</f>
        <v>54</v>
      </c>
      <c r="L188" s="12">
        <f>RANK(Tabell4[[#This Row],[MAT]],C:C)</f>
        <v>174</v>
      </c>
      <c r="M188" s="14">
        <f>Tabell4[[#This Row],[MAT]]/Tabell4[[#This Row],[ANTAL MATCHER]]</f>
        <v>0.125</v>
      </c>
      <c r="N188" s="12">
        <f>SUMIF('ALLA ÅR'!B:B,Tabell4[[#This Row],[Namn]],'ALLA ÅR'!H:H)</f>
        <v>8</v>
      </c>
      <c r="O188" s="12">
        <f>(Tabell4[[#This Row],[UTV]]*2)+Tabell4[[#This Row],[VAR]]</f>
        <v>0</v>
      </c>
      <c r="P188" s="12">
        <f>COUNTIF('100%'!B:B,Tabell4[[#This Row],[Namn]])</f>
        <v>0</v>
      </c>
      <c r="Q188" s="12">
        <f>_xlfn.XLOOKUP(Tabell4[[#This Row],[Namn]],Blad3!A:A,Blad3!B:B)</f>
        <v>0</v>
      </c>
      <c r="R188" s="12">
        <f>_xlfn.XLOOKUP(Tabell4[[#This Row],[Namn]],Blad3!A:A,Blad3!C:C)</f>
        <v>1</v>
      </c>
      <c r="S188" s="12">
        <f>_xlfn.XLOOKUP(Tabell4[[#This Row],[Namn]],Blad3!A:A,Blad3!D:D)</f>
        <v>0</v>
      </c>
      <c r="T188" s="12">
        <f>_xlfn.XLOOKUP(Tabell4[[#This Row],[Namn]],Blad3!A:A,Blad3!E:E)</f>
        <v>0</v>
      </c>
      <c r="U188" s="12">
        <f>RANK(Tabell4[[#This Row],[SÄS]],Tabell4[SÄS])</f>
        <v>61</v>
      </c>
      <c r="V188" s="12">
        <f>_xlfn.XLOOKUP(Tabell4[[#This Row],[Namn]],Blad3!H:H,Blad3!I:I)</f>
        <v>0</v>
      </c>
      <c r="W188" s="12">
        <f>_xlfn.XLOOKUP(Tabell4[[#This Row],[Namn]],Blad3!H:H,Blad3!J:J)</f>
        <v>0</v>
      </c>
      <c r="X188" s="12">
        <f>_xlfn.XLOOKUP(Tabell4[[#This Row],[Namn]],Blad3!H:H,Blad3!K:K)</f>
        <v>0</v>
      </c>
      <c r="Y188" s="12">
        <f>_xlfn.XLOOKUP(Tabell4[[#This Row],[Namn]],Blad3!H:H,Blad3!L:L)</f>
        <v>0</v>
      </c>
    </row>
    <row r="189" spans="1:25" x14ac:dyDescent="0.25">
      <c r="A189" s="15">
        <f>Tabell4[[#This Row],[RANK MATCHER]]</f>
        <v>174</v>
      </c>
      <c r="B189" s="11" t="s">
        <v>409</v>
      </c>
      <c r="C189" s="12">
        <f>SUMIF('ALLA ÅR'!B:B,Tabell4[[#This Row],[Namn]],'ALLA ÅR'!C:C)</f>
        <v>1</v>
      </c>
      <c r="D189" s="12">
        <f>SUMIF('ALLA ÅR'!B:B,Tabell4[[#This Row],[Namn]],'ALLA ÅR'!E:E)</f>
        <v>0</v>
      </c>
      <c r="E189" s="12">
        <f>SUMIF('ALLA ÅR'!B:B,Tabell4[[#This Row],[Namn]],'ALLA ÅR'!F:F)</f>
        <v>0</v>
      </c>
      <c r="F189" s="12">
        <f>SUMIF('ALLA ÅR'!B:B,Tabell4[[#This Row],[Namn]],'ALLA ÅR'!G:G)</f>
        <v>0</v>
      </c>
      <c r="G189" s="12">
        <f>VLOOKUP(Tabell4[[#This Row],[Namn]],'ALLA ÅR'!B:J,9,0)</f>
        <v>2026</v>
      </c>
      <c r="H189" s="12">
        <f>COUNTIF('ALLA ÅR'!B:B,Tabell4[[#This Row],[Namn]])</f>
        <v>1</v>
      </c>
      <c r="I189" s="12">
        <f>VLOOKUP(Tabell4[[#This Row],[Namn]],'ALLA ÅR'!B:L,11,0)</f>
        <v>15</v>
      </c>
      <c r="J189" s="12">
        <f>RANK(Tabell4[[#This Row],[MÅL]],F:F)</f>
        <v>107</v>
      </c>
      <c r="K189" s="12">
        <f>RANK(Tabell4[[#This Row],[VAR]],D:D)</f>
        <v>54</v>
      </c>
      <c r="L189" s="12">
        <f>RANK(Tabell4[[#This Row],[MAT]],C:C)</f>
        <v>174</v>
      </c>
      <c r="M189" s="14">
        <f>Tabell4[[#This Row],[MAT]]/Tabell4[[#This Row],[ANTAL MATCHER]]</f>
        <v>0.25</v>
      </c>
      <c r="N189" s="12">
        <f>SUMIF('ALLA ÅR'!B:B,Tabell4[[#This Row],[Namn]],'ALLA ÅR'!H:H)</f>
        <v>4</v>
      </c>
      <c r="O189" s="12">
        <f>(Tabell4[[#This Row],[UTV]]*2)+Tabell4[[#This Row],[VAR]]</f>
        <v>0</v>
      </c>
      <c r="P189" s="12">
        <f>COUNTIF('100%'!B:B,Tabell4[[#This Row],[Namn]])</f>
        <v>0</v>
      </c>
      <c r="Q189" s="12">
        <f>_xlfn.XLOOKUP(Tabell4[[#This Row],[Namn]],Blad3!A:A,Blad3!B:B)</f>
        <v>0</v>
      </c>
      <c r="R189" s="12">
        <f>_xlfn.XLOOKUP(Tabell4[[#This Row],[Namn]],Blad3!A:A,Blad3!C:C)</f>
        <v>0</v>
      </c>
      <c r="S189" s="12">
        <f>_xlfn.XLOOKUP(Tabell4[[#This Row],[Namn]],Blad3!A:A,Blad3!D:D)</f>
        <v>0</v>
      </c>
      <c r="T189" s="12">
        <f>_xlfn.XLOOKUP(Tabell4[[#This Row],[Namn]],Blad3!A:A,Blad3!E:E)</f>
        <v>1</v>
      </c>
      <c r="U189" s="12">
        <f>RANK(Tabell4[[#This Row],[SÄS]],Tabell4[SÄS])</f>
        <v>114</v>
      </c>
      <c r="V189" s="12">
        <f>_xlfn.XLOOKUP(Tabell4[[#This Row],[Namn]],Blad3!H:H,Blad3!I:I)</f>
        <v>0</v>
      </c>
      <c r="W189" s="12">
        <f>_xlfn.XLOOKUP(Tabell4[[#This Row],[Namn]],Blad3!H:H,Blad3!J:J)</f>
        <v>0</v>
      </c>
      <c r="X189" s="12">
        <f>_xlfn.XLOOKUP(Tabell4[[#This Row],[Namn]],Blad3!H:H,Blad3!K:K)</f>
        <v>0</v>
      </c>
      <c r="Y189" s="12">
        <f>_xlfn.XLOOKUP(Tabell4[[#This Row],[Namn]],Blad3!H:H,Blad3!L:L)</f>
        <v>0</v>
      </c>
    </row>
    <row r="190" spans="1:25" x14ac:dyDescent="0.25">
      <c r="A190" s="15">
        <f>Tabell4[[#This Row],[RANK MATCHER]]</f>
        <v>174</v>
      </c>
      <c r="B190" s="11" t="s">
        <v>52</v>
      </c>
      <c r="C190" s="12">
        <f>SUMIF('ALLA ÅR'!B:B,Tabell4[[#This Row],[Namn]],'ALLA ÅR'!C:C)</f>
        <v>1</v>
      </c>
      <c r="D190" s="12">
        <f>SUMIF('ALLA ÅR'!B:B,Tabell4[[#This Row],[Namn]],'ALLA ÅR'!E:E)</f>
        <v>0</v>
      </c>
      <c r="E190" s="12">
        <f>SUMIF('ALLA ÅR'!B:B,Tabell4[[#This Row],[Namn]],'ALLA ÅR'!F:F)</f>
        <v>0</v>
      </c>
      <c r="F190" s="12">
        <f>SUMIF('ALLA ÅR'!B:B,Tabell4[[#This Row],[Namn]],'ALLA ÅR'!G:G)</f>
        <v>0</v>
      </c>
      <c r="G190" s="12">
        <f>VLOOKUP(Tabell4[[#This Row],[Namn]],'ALLA ÅR'!B:J,9,0)</f>
        <v>2025</v>
      </c>
      <c r="H190" s="12">
        <f>COUNTIF('ALLA ÅR'!B:B,Tabell4[[#This Row],[Namn]])</f>
        <v>1</v>
      </c>
      <c r="I190" s="12">
        <f>VLOOKUP(Tabell4[[#This Row],[Namn]],'ALLA ÅR'!B:L,11,0)</f>
        <v>15</v>
      </c>
      <c r="J190" s="12">
        <f>RANK(Tabell4[[#This Row],[MÅL]],F:F)</f>
        <v>107</v>
      </c>
      <c r="K190" s="12">
        <f>RANK(Tabell4[[#This Row],[VAR]],D:D)</f>
        <v>54</v>
      </c>
      <c r="L190" s="12">
        <f>RANK(Tabell4[[#This Row],[MAT]],C:C)</f>
        <v>174</v>
      </c>
      <c r="M190" s="14">
        <f>Tabell4[[#This Row],[MAT]]/Tabell4[[#This Row],[ANTAL MATCHER]]</f>
        <v>0.25</v>
      </c>
      <c r="N190" s="12">
        <f>SUMIF('ALLA ÅR'!B:B,Tabell4[[#This Row],[Namn]],'ALLA ÅR'!H:H)</f>
        <v>4</v>
      </c>
      <c r="O190" s="12">
        <f>(Tabell4[[#This Row],[UTV]]*2)+Tabell4[[#This Row],[VAR]]</f>
        <v>0</v>
      </c>
      <c r="P190" s="12">
        <f>COUNTIF('100%'!B:B,Tabell4[[#This Row],[Namn]])</f>
        <v>0</v>
      </c>
      <c r="Q190" s="12">
        <f>_xlfn.XLOOKUP(Tabell4[[#This Row],[Namn]],Blad3!A:A,Blad3!B:B)</f>
        <v>0</v>
      </c>
      <c r="R190" s="12">
        <f>_xlfn.XLOOKUP(Tabell4[[#This Row],[Namn]],Blad3!A:A,Blad3!C:C)</f>
        <v>1</v>
      </c>
      <c r="S190" s="12">
        <f>_xlfn.XLOOKUP(Tabell4[[#This Row],[Namn]],Blad3!A:A,Blad3!D:D)</f>
        <v>0</v>
      </c>
      <c r="T190" s="12">
        <f>_xlfn.XLOOKUP(Tabell4[[#This Row],[Namn]],Blad3!A:A,Blad3!E:E)</f>
        <v>0</v>
      </c>
      <c r="U190" s="12">
        <f>RANK(Tabell4[[#This Row],[SÄS]],Tabell4[SÄS])</f>
        <v>114</v>
      </c>
      <c r="V190" s="12">
        <f>_xlfn.XLOOKUP(Tabell4[[#This Row],[Namn]],Blad3!H:H,Blad3!I:I)</f>
        <v>0</v>
      </c>
      <c r="W190" s="12">
        <f>_xlfn.XLOOKUP(Tabell4[[#This Row],[Namn]],Blad3!H:H,Blad3!J:J)</f>
        <v>0</v>
      </c>
      <c r="X190" s="12">
        <f>_xlfn.XLOOKUP(Tabell4[[#This Row],[Namn]],Blad3!H:H,Blad3!K:K)</f>
        <v>0</v>
      </c>
      <c r="Y190" s="12">
        <f>_xlfn.XLOOKUP(Tabell4[[#This Row],[Namn]],Blad3!H:H,Blad3!L:L)</f>
        <v>0</v>
      </c>
    </row>
    <row r="191" spans="1:25" x14ac:dyDescent="0.25">
      <c r="A191" s="15">
        <f>Tabell4[[#This Row],[RANK MATCHER]]</f>
        <v>174</v>
      </c>
      <c r="B191" s="11" t="s">
        <v>54</v>
      </c>
      <c r="C191" s="12">
        <f>SUMIF('ALLA ÅR'!B:B,Tabell4[[#This Row],[Namn]],'ALLA ÅR'!C:C)</f>
        <v>1</v>
      </c>
      <c r="D191" s="12">
        <f>SUMIF('ALLA ÅR'!B:B,Tabell4[[#This Row],[Namn]],'ALLA ÅR'!E:E)</f>
        <v>0</v>
      </c>
      <c r="E191" s="12">
        <f>SUMIF('ALLA ÅR'!B:B,Tabell4[[#This Row],[Namn]],'ALLA ÅR'!F:F)</f>
        <v>0</v>
      </c>
      <c r="F191" s="12">
        <f>SUMIF('ALLA ÅR'!B:B,Tabell4[[#This Row],[Namn]],'ALLA ÅR'!G:G)</f>
        <v>0</v>
      </c>
      <c r="G191" s="12">
        <f>VLOOKUP(Tabell4[[#This Row],[Namn]],'ALLA ÅR'!B:J,9,0)</f>
        <v>2025</v>
      </c>
      <c r="H191" s="12">
        <f>COUNTIF('ALLA ÅR'!B:B,Tabell4[[#This Row],[Namn]])</f>
        <v>1</v>
      </c>
      <c r="I191" s="12">
        <f>VLOOKUP(Tabell4[[#This Row],[Namn]],'ALLA ÅR'!B:L,11,0)</f>
        <v>15</v>
      </c>
      <c r="J191" s="12">
        <f>RANK(Tabell4[[#This Row],[MÅL]],F:F)</f>
        <v>107</v>
      </c>
      <c r="K191" s="12">
        <f>RANK(Tabell4[[#This Row],[VAR]],D:D)</f>
        <v>54</v>
      </c>
      <c r="L191" s="12">
        <f>RANK(Tabell4[[#This Row],[MAT]],C:C)</f>
        <v>174</v>
      </c>
      <c r="M191" s="14">
        <f>Tabell4[[#This Row],[MAT]]/Tabell4[[#This Row],[ANTAL MATCHER]]</f>
        <v>0.25</v>
      </c>
      <c r="N191" s="12">
        <f>SUMIF('ALLA ÅR'!B:B,Tabell4[[#This Row],[Namn]],'ALLA ÅR'!H:H)</f>
        <v>4</v>
      </c>
      <c r="O191" s="12">
        <f>(Tabell4[[#This Row],[UTV]]*2)+Tabell4[[#This Row],[VAR]]</f>
        <v>0</v>
      </c>
      <c r="P191" s="12">
        <f>COUNTIF('100%'!B:B,Tabell4[[#This Row],[Namn]])</f>
        <v>0</v>
      </c>
      <c r="Q191" s="12">
        <f>_xlfn.XLOOKUP(Tabell4[[#This Row],[Namn]],Blad3!A:A,Blad3!B:B)</f>
        <v>0</v>
      </c>
      <c r="R191" s="12">
        <f>_xlfn.XLOOKUP(Tabell4[[#This Row],[Namn]],Blad3!A:A,Blad3!C:C)</f>
        <v>1</v>
      </c>
      <c r="S191" s="12">
        <f>_xlfn.XLOOKUP(Tabell4[[#This Row],[Namn]],Blad3!A:A,Blad3!D:D)</f>
        <v>0</v>
      </c>
      <c r="T191" s="12">
        <f>_xlfn.XLOOKUP(Tabell4[[#This Row],[Namn]],Blad3!A:A,Blad3!E:E)</f>
        <v>0</v>
      </c>
      <c r="U191" s="12">
        <f>RANK(Tabell4[[#This Row],[SÄS]],Tabell4[SÄS])</f>
        <v>114</v>
      </c>
      <c r="V191" s="12">
        <f>_xlfn.XLOOKUP(Tabell4[[#This Row],[Namn]],Blad3!H:H,Blad3!I:I)</f>
        <v>0</v>
      </c>
      <c r="W191" s="12">
        <f>_xlfn.XLOOKUP(Tabell4[[#This Row],[Namn]],Blad3!H:H,Blad3!J:J)</f>
        <v>0</v>
      </c>
      <c r="X191" s="12">
        <f>_xlfn.XLOOKUP(Tabell4[[#This Row],[Namn]],Blad3!H:H,Blad3!K:K)</f>
        <v>0</v>
      </c>
      <c r="Y191" s="12">
        <f>_xlfn.XLOOKUP(Tabell4[[#This Row],[Namn]],Blad3!H:H,Blad3!L:L)</f>
        <v>0</v>
      </c>
    </row>
    <row r="192" spans="1:25" x14ac:dyDescent="0.25">
      <c r="A192" s="15">
        <f>Tabell4[[#This Row],[RANK MATCHER]]</f>
        <v>174</v>
      </c>
      <c r="B192" s="11" t="s">
        <v>55</v>
      </c>
      <c r="C192" s="12">
        <f>SUMIF('ALLA ÅR'!B:B,Tabell4[[#This Row],[Namn]],'ALLA ÅR'!C:C)</f>
        <v>1</v>
      </c>
      <c r="D192" s="12">
        <f>SUMIF('ALLA ÅR'!B:B,Tabell4[[#This Row],[Namn]],'ALLA ÅR'!E:E)</f>
        <v>0</v>
      </c>
      <c r="E192" s="12">
        <f>SUMIF('ALLA ÅR'!B:B,Tabell4[[#This Row],[Namn]],'ALLA ÅR'!F:F)</f>
        <v>0</v>
      </c>
      <c r="F192" s="12">
        <f>SUMIF('ALLA ÅR'!B:B,Tabell4[[#This Row],[Namn]],'ALLA ÅR'!G:G)</f>
        <v>0</v>
      </c>
      <c r="G192" s="12">
        <f>VLOOKUP(Tabell4[[#This Row],[Namn]],'ALLA ÅR'!B:J,9,0)</f>
        <v>2025</v>
      </c>
      <c r="H192" s="12">
        <f>COUNTIF('ALLA ÅR'!B:B,Tabell4[[#This Row],[Namn]])</f>
        <v>1</v>
      </c>
      <c r="I192" s="12">
        <f>VLOOKUP(Tabell4[[#This Row],[Namn]],'ALLA ÅR'!B:L,11,0)</f>
        <v>15</v>
      </c>
      <c r="J192" s="12">
        <f>RANK(Tabell4[[#This Row],[MÅL]],F:F)</f>
        <v>107</v>
      </c>
      <c r="K192" s="12">
        <f>RANK(Tabell4[[#This Row],[VAR]],D:D)</f>
        <v>54</v>
      </c>
      <c r="L192" s="12">
        <f>RANK(Tabell4[[#This Row],[MAT]],C:C)</f>
        <v>174</v>
      </c>
      <c r="M192" s="14">
        <f>Tabell4[[#This Row],[MAT]]/Tabell4[[#This Row],[ANTAL MATCHER]]</f>
        <v>0.25</v>
      </c>
      <c r="N192" s="12">
        <f>SUMIF('ALLA ÅR'!B:B,Tabell4[[#This Row],[Namn]],'ALLA ÅR'!H:H)</f>
        <v>4</v>
      </c>
      <c r="O192" s="12">
        <f>(Tabell4[[#This Row],[UTV]]*2)+Tabell4[[#This Row],[VAR]]</f>
        <v>0</v>
      </c>
      <c r="P192" s="12">
        <f>COUNTIF('100%'!B:B,Tabell4[[#This Row],[Namn]])</f>
        <v>0</v>
      </c>
      <c r="Q192" s="12">
        <f>_xlfn.XLOOKUP(Tabell4[[#This Row],[Namn]],Blad3!A:A,Blad3!B:B)</f>
        <v>0</v>
      </c>
      <c r="R192" s="12">
        <f>_xlfn.XLOOKUP(Tabell4[[#This Row],[Namn]],Blad3!A:A,Blad3!C:C)</f>
        <v>1</v>
      </c>
      <c r="S192" s="12">
        <f>_xlfn.XLOOKUP(Tabell4[[#This Row],[Namn]],Blad3!A:A,Blad3!D:D)</f>
        <v>0</v>
      </c>
      <c r="T192" s="12">
        <f>_xlfn.XLOOKUP(Tabell4[[#This Row],[Namn]],Blad3!A:A,Blad3!E:E)</f>
        <v>0</v>
      </c>
      <c r="U192" s="12">
        <f>RANK(Tabell4[[#This Row],[SÄS]],Tabell4[SÄS])</f>
        <v>114</v>
      </c>
      <c r="V192" s="12">
        <f>_xlfn.XLOOKUP(Tabell4[[#This Row],[Namn]],Blad3!H:H,Blad3!I:I)</f>
        <v>0</v>
      </c>
      <c r="W192" s="12">
        <f>_xlfn.XLOOKUP(Tabell4[[#This Row],[Namn]],Blad3!H:H,Blad3!J:J)</f>
        <v>0</v>
      </c>
      <c r="X192" s="12">
        <f>_xlfn.XLOOKUP(Tabell4[[#This Row],[Namn]],Blad3!H:H,Blad3!K:K)</f>
        <v>0</v>
      </c>
      <c r="Y192" s="12">
        <f>_xlfn.XLOOKUP(Tabell4[[#This Row],[Namn]],Blad3!H:H,Blad3!L:L)</f>
        <v>0</v>
      </c>
    </row>
    <row r="193" spans="1:25" x14ac:dyDescent="0.25">
      <c r="A193" s="15">
        <f>Tabell4[[#This Row],[RANK MATCHER]]</f>
        <v>174</v>
      </c>
      <c r="B193" s="11" t="s">
        <v>67</v>
      </c>
      <c r="C193" s="12">
        <f>SUMIF('ALLA ÅR'!B:B,Tabell4[[#This Row],[Namn]],'ALLA ÅR'!C:C)</f>
        <v>1</v>
      </c>
      <c r="D193" s="12">
        <f>SUMIF('ALLA ÅR'!B:B,Tabell4[[#This Row],[Namn]],'ALLA ÅR'!E:E)</f>
        <v>0</v>
      </c>
      <c r="E193" s="12">
        <f>SUMIF('ALLA ÅR'!B:B,Tabell4[[#This Row],[Namn]],'ALLA ÅR'!F:F)</f>
        <v>0</v>
      </c>
      <c r="F193" s="12">
        <f>SUMIF('ALLA ÅR'!B:B,Tabell4[[#This Row],[Namn]],'ALLA ÅR'!G:G)</f>
        <v>1</v>
      </c>
      <c r="G193" s="12">
        <f>VLOOKUP(Tabell4[[#This Row],[Namn]],'ALLA ÅR'!B:J,9,0)</f>
        <v>2024</v>
      </c>
      <c r="H193" s="12">
        <f>COUNTIF('ALLA ÅR'!B:B,Tabell4[[#This Row],[Namn]])</f>
        <v>1</v>
      </c>
      <c r="I193" s="12">
        <f>VLOOKUP(Tabell4[[#This Row],[Namn]],'ALLA ÅR'!B:L,11,0)</f>
        <v>17</v>
      </c>
      <c r="J193" s="12">
        <f>RANK(Tabell4[[#This Row],[MÅL]],F:F)</f>
        <v>67</v>
      </c>
      <c r="K193" s="12">
        <f>RANK(Tabell4[[#This Row],[VAR]],D:D)</f>
        <v>54</v>
      </c>
      <c r="L193" s="12">
        <f>RANK(Tabell4[[#This Row],[MAT]],C:C)</f>
        <v>174</v>
      </c>
      <c r="M193" s="14">
        <f>Tabell4[[#This Row],[MAT]]/Tabell4[[#This Row],[ANTAL MATCHER]]</f>
        <v>3.4482758620689655E-2</v>
      </c>
      <c r="N193" s="12">
        <f>SUMIF('ALLA ÅR'!B:B,Tabell4[[#This Row],[Namn]],'ALLA ÅR'!H:H)</f>
        <v>29</v>
      </c>
      <c r="O193" s="12">
        <f>(Tabell4[[#This Row],[UTV]]*2)+Tabell4[[#This Row],[VAR]]</f>
        <v>0</v>
      </c>
      <c r="P193" s="12">
        <f>COUNTIF('100%'!B:B,Tabell4[[#This Row],[Namn]])</f>
        <v>0</v>
      </c>
      <c r="Q193" s="12">
        <f>_xlfn.XLOOKUP(Tabell4[[#This Row],[Namn]],Blad3!A:A,Blad3!B:B)</f>
        <v>0</v>
      </c>
      <c r="R193" s="12">
        <f>_xlfn.XLOOKUP(Tabell4[[#This Row],[Namn]],Blad3!A:A,Blad3!C:C)</f>
        <v>1</v>
      </c>
      <c r="S193" s="12">
        <f>_xlfn.XLOOKUP(Tabell4[[#This Row],[Namn]],Blad3!A:A,Blad3!D:D)</f>
        <v>0</v>
      </c>
      <c r="T193" s="12">
        <f>_xlfn.XLOOKUP(Tabell4[[#This Row],[Namn]],Blad3!A:A,Blad3!E:E)</f>
        <v>0</v>
      </c>
      <c r="U193" s="12">
        <f>RANK(Tabell4[[#This Row],[SÄS]],Tabell4[SÄS])</f>
        <v>114</v>
      </c>
      <c r="V193" s="12">
        <f>_xlfn.XLOOKUP(Tabell4[[#This Row],[Namn]],Blad3!H:H,Blad3!I:I)</f>
        <v>0</v>
      </c>
      <c r="W193" s="12">
        <f>_xlfn.XLOOKUP(Tabell4[[#This Row],[Namn]],Blad3!H:H,Blad3!J:J)</f>
        <v>1</v>
      </c>
      <c r="X193" s="12">
        <f>_xlfn.XLOOKUP(Tabell4[[#This Row],[Namn]],Blad3!H:H,Blad3!K:K)</f>
        <v>0</v>
      </c>
      <c r="Y193" s="12">
        <f>_xlfn.XLOOKUP(Tabell4[[#This Row],[Namn]],Blad3!H:H,Blad3!L:L)</f>
        <v>0</v>
      </c>
    </row>
    <row r="194" spans="1:25" x14ac:dyDescent="0.25">
      <c r="A194" s="15">
        <f>Tabell4[[#This Row],[RANK MATCHER]]</f>
        <v>174</v>
      </c>
      <c r="B194" s="11" t="s">
        <v>68</v>
      </c>
      <c r="C194" s="12">
        <f>SUMIF('ALLA ÅR'!B:B,Tabell4[[#This Row],[Namn]],'ALLA ÅR'!C:C)</f>
        <v>1</v>
      </c>
      <c r="D194" s="12">
        <f>SUMIF('ALLA ÅR'!B:B,Tabell4[[#This Row],[Namn]],'ALLA ÅR'!E:E)</f>
        <v>0</v>
      </c>
      <c r="E194" s="12">
        <f>SUMIF('ALLA ÅR'!B:B,Tabell4[[#This Row],[Namn]],'ALLA ÅR'!F:F)</f>
        <v>0</v>
      </c>
      <c r="F194" s="12">
        <f>SUMIF('ALLA ÅR'!B:B,Tabell4[[#This Row],[Namn]],'ALLA ÅR'!G:G)</f>
        <v>0</v>
      </c>
      <c r="G194" s="12">
        <f>VLOOKUP(Tabell4[[#This Row],[Namn]],'ALLA ÅR'!B:J,9,0)</f>
        <v>2024</v>
      </c>
      <c r="H194" s="12">
        <f>COUNTIF('ALLA ÅR'!B:B,Tabell4[[#This Row],[Namn]])</f>
        <v>1</v>
      </c>
      <c r="I194" s="12">
        <f>VLOOKUP(Tabell4[[#This Row],[Namn]],'ALLA ÅR'!B:L,11,0)</f>
        <v>18</v>
      </c>
      <c r="J194" s="12">
        <f>RANK(Tabell4[[#This Row],[MÅL]],F:F)</f>
        <v>107</v>
      </c>
      <c r="K194" s="12">
        <f>RANK(Tabell4[[#This Row],[VAR]],D:D)</f>
        <v>54</v>
      </c>
      <c r="L194" s="12">
        <f>RANK(Tabell4[[#This Row],[MAT]],C:C)</f>
        <v>174</v>
      </c>
      <c r="M194" s="14">
        <f>Tabell4[[#This Row],[MAT]]/Tabell4[[#This Row],[ANTAL MATCHER]]</f>
        <v>3.4482758620689655E-2</v>
      </c>
      <c r="N194" s="12">
        <f>SUMIF('ALLA ÅR'!B:B,Tabell4[[#This Row],[Namn]],'ALLA ÅR'!H:H)</f>
        <v>29</v>
      </c>
      <c r="O194" s="12">
        <f>(Tabell4[[#This Row],[UTV]]*2)+Tabell4[[#This Row],[VAR]]</f>
        <v>0</v>
      </c>
      <c r="P194" s="12">
        <f>COUNTIF('100%'!B:B,Tabell4[[#This Row],[Namn]])</f>
        <v>0</v>
      </c>
      <c r="Q194" s="12">
        <f>_xlfn.XLOOKUP(Tabell4[[#This Row],[Namn]],Blad3!A:A,Blad3!B:B)</f>
        <v>0</v>
      </c>
      <c r="R194" s="12">
        <f>_xlfn.XLOOKUP(Tabell4[[#This Row],[Namn]],Blad3!A:A,Blad3!C:C)</f>
        <v>1</v>
      </c>
      <c r="S194" s="12">
        <f>_xlfn.XLOOKUP(Tabell4[[#This Row],[Namn]],Blad3!A:A,Blad3!D:D)</f>
        <v>0</v>
      </c>
      <c r="T194" s="12">
        <f>_xlfn.XLOOKUP(Tabell4[[#This Row],[Namn]],Blad3!A:A,Blad3!E:E)</f>
        <v>0</v>
      </c>
      <c r="U194" s="12">
        <f>RANK(Tabell4[[#This Row],[SÄS]],Tabell4[SÄS])</f>
        <v>114</v>
      </c>
      <c r="V194" s="12">
        <f>_xlfn.XLOOKUP(Tabell4[[#This Row],[Namn]],Blad3!H:H,Blad3!I:I)</f>
        <v>0</v>
      </c>
      <c r="W194" s="12">
        <f>_xlfn.XLOOKUP(Tabell4[[#This Row],[Namn]],Blad3!H:H,Blad3!J:J)</f>
        <v>0</v>
      </c>
      <c r="X194" s="12">
        <f>_xlfn.XLOOKUP(Tabell4[[#This Row],[Namn]],Blad3!H:H,Blad3!K:K)</f>
        <v>0</v>
      </c>
      <c r="Y194" s="12">
        <f>_xlfn.XLOOKUP(Tabell4[[#This Row],[Namn]],Blad3!H:H,Blad3!L:L)</f>
        <v>0</v>
      </c>
    </row>
    <row r="195" spans="1:25" x14ac:dyDescent="0.25">
      <c r="A195" s="15">
        <f>Tabell4[[#This Row],[RANK MATCHER]]</f>
        <v>174</v>
      </c>
      <c r="B195" s="11" t="s">
        <v>91</v>
      </c>
      <c r="C195" s="12">
        <f>SUMIF('ALLA ÅR'!B:B,Tabell4[[#This Row],[Namn]],'ALLA ÅR'!C:C)</f>
        <v>1</v>
      </c>
      <c r="D195" s="12">
        <f>SUMIF('ALLA ÅR'!B:B,Tabell4[[#This Row],[Namn]],'ALLA ÅR'!E:E)</f>
        <v>0</v>
      </c>
      <c r="E195" s="12">
        <f>SUMIF('ALLA ÅR'!B:B,Tabell4[[#This Row],[Namn]],'ALLA ÅR'!F:F)</f>
        <v>0</v>
      </c>
      <c r="F195" s="12">
        <f>SUMIF('ALLA ÅR'!B:B,Tabell4[[#This Row],[Namn]],'ALLA ÅR'!G:G)</f>
        <v>0</v>
      </c>
      <c r="G195" s="12">
        <f>VLOOKUP(Tabell4[[#This Row],[Namn]],'ALLA ÅR'!B:J,9,0)</f>
        <v>2022</v>
      </c>
      <c r="H195" s="12">
        <f>COUNTIF('ALLA ÅR'!B:B,Tabell4[[#This Row],[Namn]])</f>
        <v>1</v>
      </c>
      <c r="I195" s="12">
        <f>VLOOKUP(Tabell4[[#This Row],[Namn]],'ALLA ÅR'!B:L,11,0)</f>
        <v>18</v>
      </c>
      <c r="J195" s="12">
        <f>RANK(Tabell4[[#This Row],[MÅL]],F:F)</f>
        <v>107</v>
      </c>
      <c r="K195" s="12">
        <f>RANK(Tabell4[[#This Row],[VAR]],D:D)</f>
        <v>54</v>
      </c>
      <c r="L195" s="12">
        <f>RANK(Tabell4[[#This Row],[MAT]],C:C)</f>
        <v>174</v>
      </c>
      <c r="M195" s="14">
        <f>Tabell4[[#This Row],[MAT]]/Tabell4[[#This Row],[ANTAL MATCHER]]</f>
        <v>3.4482758620689655E-2</v>
      </c>
      <c r="N195" s="12">
        <f>SUMIF('ALLA ÅR'!B:B,Tabell4[[#This Row],[Namn]],'ALLA ÅR'!H:H)</f>
        <v>29</v>
      </c>
      <c r="O195" s="12">
        <f>(Tabell4[[#This Row],[UTV]]*2)+Tabell4[[#This Row],[VAR]]</f>
        <v>0</v>
      </c>
      <c r="P195" s="12">
        <f>COUNTIF('100%'!B:B,Tabell4[[#This Row],[Namn]])</f>
        <v>0</v>
      </c>
      <c r="Q195" s="12">
        <f>_xlfn.XLOOKUP(Tabell4[[#This Row],[Namn]],Blad3!A:A,Blad3!B:B)</f>
        <v>0</v>
      </c>
      <c r="R195" s="12">
        <f>_xlfn.XLOOKUP(Tabell4[[#This Row],[Namn]],Blad3!A:A,Blad3!C:C)</f>
        <v>1</v>
      </c>
      <c r="S195" s="12">
        <f>_xlfn.XLOOKUP(Tabell4[[#This Row],[Namn]],Blad3!A:A,Blad3!D:D)</f>
        <v>0</v>
      </c>
      <c r="T195" s="12">
        <f>_xlfn.XLOOKUP(Tabell4[[#This Row],[Namn]],Blad3!A:A,Blad3!E:E)</f>
        <v>0</v>
      </c>
      <c r="U195" s="12">
        <f>RANK(Tabell4[[#This Row],[SÄS]],Tabell4[SÄS])</f>
        <v>114</v>
      </c>
      <c r="V195" s="12">
        <f>_xlfn.XLOOKUP(Tabell4[[#This Row],[Namn]],Blad3!H:H,Blad3!I:I)</f>
        <v>0</v>
      </c>
      <c r="W195" s="12">
        <f>_xlfn.XLOOKUP(Tabell4[[#This Row],[Namn]],Blad3!H:H,Blad3!J:J)</f>
        <v>0</v>
      </c>
      <c r="X195" s="12">
        <f>_xlfn.XLOOKUP(Tabell4[[#This Row],[Namn]],Blad3!H:H,Blad3!K:K)</f>
        <v>0</v>
      </c>
      <c r="Y195" s="12">
        <f>_xlfn.XLOOKUP(Tabell4[[#This Row],[Namn]],Blad3!H:H,Blad3!L:L)</f>
        <v>0</v>
      </c>
    </row>
    <row r="196" spans="1:25" x14ac:dyDescent="0.25">
      <c r="A196" s="15">
        <f>Tabell4[[#This Row],[RANK MATCHER]]</f>
        <v>174</v>
      </c>
      <c r="B196" s="11" t="s">
        <v>92</v>
      </c>
      <c r="C196" s="12">
        <f>SUMIF('ALLA ÅR'!B:B,Tabell4[[#This Row],[Namn]],'ALLA ÅR'!C:C)</f>
        <v>1</v>
      </c>
      <c r="D196" s="12">
        <f>SUMIF('ALLA ÅR'!B:B,Tabell4[[#This Row],[Namn]],'ALLA ÅR'!E:E)</f>
        <v>0</v>
      </c>
      <c r="E196" s="12">
        <f>SUMIF('ALLA ÅR'!B:B,Tabell4[[#This Row],[Namn]],'ALLA ÅR'!F:F)</f>
        <v>0</v>
      </c>
      <c r="F196" s="12">
        <f>SUMIF('ALLA ÅR'!B:B,Tabell4[[#This Row],[Namn]],'ALLA ÅR'!G:G)</f>
        <v>0</v>
      </c>
      <c r="G196" s="12">
        <f>VLOOKUP(Tabell4[[#This Row],[Namn]],'ALLA ÅR'!B:J,9,0)</f>
        <v>2022</v>
      </c>
      <c r="H196" s="12">
        <f>COUNTIF('ALLA ÅR'!B:B,Tabell4[[#This Row],[Namn]])</f>
        <v>1</v>
      </c>
      <c r="I196" s="12">
        <f>VLOOKUP(Tabell4[[#This Row],[Namn]],'ALLA ÅR'!B:L,11,0)</f>
        <v>18</v>
      </c>
      <c r="J196" s="12">
        <f>RANK(Tabell4[[#This Row],[MÅL]],F:F)</f>
        <v>107</v>
      </c>
      <c r="K196" s="12">
        <f>RANK(Tabell4[[#This Row],[VAR]],D:D)</f>
        <v>54</v>
      </c>
      <c r="L196" s="12">
        <f>RANK(Tabell4[[#This Row],[MAT]],C:C)</f>
        <v>174</v>
      </c>
      <c r="M196" s="14">
        <f>Tabell4[[#This Row],[MAT]]/Tabell4[[#This Row],[ANTAL MATCHER]]</f>
        <v>3.4482758620689655E-2</v>
      </c>
      <c r="N196" s="12">
        <f>SUMIF('ALLA ÅR'!B:B,Tabell4[[#This Row],[Namn]],'ALLA ÅR'!H:H)</f>
        <v>29</v>
      </c>
      <c r="O196" s="12">
        <f>(Tabell4[[#This Row],[UTV]]*2)+Tabell4[[#This Row],[VAR]]</f>
        <v>0</v>
      </c>
      <c r="P196" s="12">
        <f>COUNTIF('100%'!B:B,Tabell4[[#This Row],[Namn]])</f>
        <v>0</v>
      </c>
      <c r="Q196" s="12">
        <f>_xlfn.XLOOKUP(Tabell4[[#This Row],[Namn]],Blad3!A:A,Blad3!B:B)</f>
        <v>0</v>
      </c>
      <c r="R196" s="12">
        <f>_xlfn.XLOOKUP(Tabell4[[#This Row],[Namn]],Blad3!A:A,Blad3!C:C)</f>
        <v>1</v>
      </c>
      <c r="S196" s="12">
        <f>_xlfn.XLOOKUP(Tabell4[[#This Row],[Namn]],Blad3!A:A,Blad3!D:D)</f>
        <v>0</v>
      </c>
      <c r="T196" s="12">
        <f>_xlfn.XLOOKUP(Tabell4[[#This Row],[Namn]],Blad3!A:A,Blad3!E:E)</f>
        <v>0</v>
      </c>
      <c r="U196" s="12">
        <f>RANK(Tabell4[[#This Row],[SÄS]],Tabell4[SÄS])</f>
        <v>114</v>
      </c>
      <c r="V196" s="12">
        <f>_xlfn.XLOOKUP(Tabell4[[#This Row],[Namn]],Blad3!H:H,Blad3!I:I)</f>
        <v>0</v>
      </c>
      <c r="W196" s="12">
        <f>_xlfn.XLOOKUP(Tabell4[[#This Row],[Namn]],Blad3!H:H,Blad3!J:J)</f>
        <v>0</v>
      </c>
      <c r="X196" s="12">
        <f>_xlfn.XLOOKUP(Tabell4[[#This Row],[Namn]],Blad3!H:H,Blad3!K:K)</f>
        <v>0</v>
      </c>
      <c r="Y196" s="12">
        <f>_xlfn.XLOOKUP(Tabell4[[#This Row],[Namn]],Blad3!H:H,Blad3!L:L)</f>
        <v>0</v>
      </c>
    </row>
    <row r="197" spans="1:25" x14ac:dyDescent="0.25">
      <c r="A197" s="15">
        <f>Tabell4[[#This Row],[RANK MATCHER]]</f>
        <v>174</v>
      </c>
      <c r="B197" s="11" t="s">
        <v>98</v>
      </c>
      <c r="C197" s="12">
        <f>SUMIF('ALLA ÅR'!B:B,Tabell4[[#This Row],[Namn]],'ALLA ÅR'!C:C)</f>
        <v>1</v>
      </c>
      <c r="D197" s="12">
        <f>SUMIF('ALLA ÅR'!B:B,Tabell4[[#This Row],[Namn]],'ALLA ÅR'!E:E)</f>
        <v>0</v>
      </c>
      <c r="E197" s="12">
        <f>SUMIF('ALLA ÅR'!B:B,Tabell4[[#This Row],[Namn]],'ALLA ÅR'!F:F)</f>
        <v>0</v>
      </c>
      <c r="F197" s="12">
        <f>SUMIF('ALLA ÅR'!B:B,Tabell4[[#This Row],[Namn]],'ALLA ÅR'!G:G)</f>
        <v>0</v>
      </c>
      <c r="G197" s="12">
        <f>VLOOKUP(Tabell4[[#This Row],[Namn]],'ALLA ÅR'!B:J,9,0)</f>
        <v>2021</v>
      </c>
      <c r="H197" s="12">
        <f>COUNTIF('ALLA ÅR'!B:B,Tabell4[[#This Row],[Namn]])</f>
        <v>1</v>
      </c>
      <c r="I197" s="12">
        <f>VLOOKUP(Tabell4[[#This Row],[Namn]],'ALLA ÅR'!B:L,11,0)</f>
        <v>24</v>
      </c>
      <c r="J197" s="12">
        <f>RANK(Tabell4[[#This Row],[MÅL]],F:F)</f>
        <v>107</v>
      </c>
      <c r="K197" s="12">
        <f>RANK(Tabell4[[#This Row],[VAR]],D:D)</f>
        <v>54</v>
      </c>
      <c r="L197" s="12">
        <f>RANK(Tabell4[[#This Row],[MAT]],C:C)</f>
        <v>174</v>
      </c>
      <c r="M197" s="14">
        <f>Tabell4[[#This Row],[MAT]]/Tabell4[[#This Row],[ANTAL MATCHER]]</f>
        <v>9.0909090909090912E-2</v>
      </c>
      <c r="N197" s="12">
        <f>SUMIF('ALLA ÅR'!B:B,Tabell4[[#This Row],[Namn]],'ALLA ÅR'!H:H)</f>
        <v>11</v>
      </c>
      <c r="O197" s="12">
        <f>(Tabell4[[#This Row],[UTV]]*2)+Tabell4[[#This Row],[VAR]]</f>
        <v>0</v>
      </c>
      <c r="P197" s="12">
        <f>COUNTIF('100%'!B:B,Tabell4[[#This Row],[Namn]])</f>
        <v>0</v>
      </c>
      <c r="Q197" s="12">
        <f>_xlfn.XLOOKUP(Tabell4[[#This Row],[Namn]],Blad3!A:A,Blad3!B:B)</f>
        <v>0</v>
      </c>
      <c r="R197" s="12">
        <f>_xlfn.XLOOKUP(Tabell4[[#This Row],[Namn]],Blad3!A:A,Blad3!C:C)</f>
        <v>1</v>
      </c>
      <c r="S197" s="12">
        <f>_xlfn.XLOOKUP(Tabell4[[#This Row],[Namn]],Blad3!A:A,Blad3!D:D)</f>
        <v>0</v>
      </c>
      <c r="T197" s="12">
        <f>_xlfn.XLOOKUP(Tabell4[[#This Row],[Namn]],Blad3!A:A,Blad3!E:E)</f>
        <v>0</v>
      </c>
      <c r="U197" s="12">
        <f>RANK(Tabell4[[#This Row],[SÄS]],Tabell4[SÄS])</f>
        <v>114</v>
      </c>
      <c r="V197" s="12">
        <f>_xlfn.XLOOKUP(Tabell4[[#This Row],[Namn]],Blad3!H:H,Blad3!I:I)</f>
        <v>0</v>
      </c>
      <c r="W197" s="12">
        <f>_xlfn.XLOOKUP(Tabell4[[#This Row],[Namn]],Blad3!H:H,Blad3!J:J)</f>
        <v>0</v>
      </c>
      <c r="X197" s="12">
        <f>_xlfn.XLOOKUP(Tabell4[[#This Row],[Namn]],Blad3!H:H,Blad3!K:K)</f>
        <v>0</v>
      </c>
      <c r="Y197" s="12">
        <f>_xlfn.XLOOKUP(Tabell4[[#This Row],[Namn]],Blad3!H:H,Blad3!L:L)</f>
        <v>0</v>
      </c>
    </row>
    <row r="198" spans="1:25" x14ac:dyDescent="0.25">
      <c r="A198" s="12">
        <f>Tabell4[[#This Row],[RANK MATCHER]]</f>
        <v>174</v>
      </c>
      <c r="B198" s="11" t="s">
        <v>103</v>
      </c>
      <c r="C198" s="12">
        <f>SUMIF('ALLA ÅR'!B:B,Tabell4[[#This Row],[Namn]],'ALLA ÅR'!C:C)</f>
        <v>1</v>
      </c>
      <c r="D198" s="12">
        <f>SUMIF('ALLA ÅR'!B:B,Tabell4[[#This Row],[Namn]],'ALLA ÅR'!E:E)</f>
        <v>0</v>
      </c>
      <c r="E198" s="12">
        <f>SUMIF('ALLA ÅR'!B:B,Tabell4[[#This Row],[Namn]],'ALLA ÅR'!F:F)</f>
        <v>0</v>
      </c>
      <c r="F198" s="12">
        <f>SUMIF('ALLA ÅR'!B:B,Tabell4[[#This Row],[Namn]],'ALLA ÅR'!G:G)</f>
        <v>0</v>
      </c>
      <c r="G198" s="12">
        <f>VLOOKUP(Tabell4[[#This Row],[Namn]],'ALLA ÅR'!B:J,9,0)</f>
        <v>2020</v>
      </c>
      <c r="H198" s="12">
        <f>COUNTIF('ALLA ÅR'!B:B,Tabell4[[#This Row],[Namn]])</f>
        <v>1</v>
      </c>
      <c r="I198" s="12">
        <f>VLOOKUP(Tabell4[[#This Row],[Namn]],'ALLA ÅR'!B:L,11,0)</f>
        <v>15</v>
      </c>
      <c r="J198" s="12">
        <f>RANK(Tabell4[[#This Row],[MÅL]],F:F)</f>
        <v>107</v>
      </c>
      <c r="K198" s="12">
        <f>RANK(Tabell4[[#This Row],[VAR]],D:D)</f>
        <v>54</v>
      </c>
      <c r="L198" s="12">
        <f>RANK(Tabell4[[#This Row],[MAT]],C:C)</f>
        <v>174</v>
      </c>
      <c r="M198" s="14">
        <f>Tabell4[[#This Row],[MAT]]/Tabell4[[#This Row],[ANTAL MATCHER]]</f>
        <v>0.1</v>
      </c>
      <c r="N198" s="12">
        <f>SUMIF('ALLA ÅR'!B:B,Tabell4[[#This Row],[Namn]],'ALLA ÅR'!H:H)</f>
        <v>10</v>
      </c>
      <c r="O198" s="12">
        <f>(Tabell4[[#This Row],[UTV]]*2)+Tabell4[[#This Row],[VAR]]</f>
        <v>0</v>
      </c>
      <c r="P198" s="12">
        <f>COUNTIF('100%'!B:B,Tabell4[[#This Row],[Namn]])</f>
        <v>0</v>
      </c>
      <c r="Q198" s="12">
        <f>_xlfn.XLOOKUP(Tabell4[[#This Row],[Namn]],Blad3!A:A,Blad3!B:B)</f>
        <v>1</v>
      </c>
      <c r="R198" s="12">
        <f>_xlfn.XLOOKUP(Tabell4[[#This Row],[Namn]],Blad3!A:A,Blad3!C:C)</f>
        <v>0</v>
      </c>
      <c r="S198" s="12">
        <f>_xlfn.XLOOKUP(Tabell4[[#This Row],[Namn]],Blad3!A:A,Blad3!D:D)</f>
        <v>0</v>
      </c>
      <c r="T198" s="12">
        <f>_xlfn.XLOOKUP(Tabell4[[#This Row],[Namn]],Blad3!A:A,Blad3!E:E)</f>
        <v>0</v>
      </c>
      <c r="U198" s="12">
        <f>RANK(Tabell4[[#This Row],[SÄS]],Tabell4[SÄS])</f>
        <v>114</v>
      </c>
      <c r="V198" s="12">
        <f>_xlfn.XLOOKUP(Tabell4[[#This Row],[Namn]],Blad3!H:H,Blad3!I:I)</f>
        <v>0</v>
      </c>
      <c r="W198" s="12">
        <f>_xlfn.XLOOKUP(Tabell4[[#This Row],[Namn]],Blad3!H:H,Blad3!J:J)</f>
        <v>0</v>
      </c>
      <c r="X198" s="12">
        <f>_xlfn.XLOOKUP(Tabell4[[#This Row],[Namn]],Blad3!H:H,Blad3!K:K)</f>
        <v>0</v>
      </c>
      <c r="Y198" s="12">
        <f>_xlfn.XLOOKUP(Tabell4[[#This Row],[Namn]],Blad3!H:H,Blad3!L:L)</f>
        <v>0</v>
      </c>
    </row>
    <row r="199" spans="1:25" x14ac:dyDescent="0.25">
      <c r="A199" s="12">
        <f>Tabell4[[#This Row],[RANK MATCHER]]</f>
        <v>174</v>
      </c>
      <c r="B199" s="11" t="s">
        <v>127</v>
      </c>
      <c r="C199" s="12">
        <f>SUMIF('ALLA ÅR'!B:B,Tabell4[[#This Row],[Namn]],'ALLA ÅR'!C:C)</f>
        <v>1</v>
      </c>
      <c r="D199" s="12">
        <f>SUMIF('ALLA ÅR'!B:B,Tabell4[[#This Row],[Namn]],'ALLA ÅR'!E:E)</f>
        <v>0</v>
      </c>
      <c r="E199" s="12">
        <f>SUMIF('ALLA ÅR'!B:B,Tabell4[[#This Row],[Namn]],'ALLA ÅR'!F:F)</f>
        <v>0</v>
      </c>
      <c r="F199" s="12">
        <f>SUMIF('ALLA ÅR'!B:B,Tabell4[[#This Row],[Namn]],'ALLA ÅR'!G:G)</f>
        <v>0</v>
      </c>
      <c r="G199" s="12">
        <f>VLOOKUP(Tabell4[[#This Row],[Namn]],'ALLA ÅR'!B:J,9,0)</f>
        <v>2017</v>
      </c>
      <c r="H199" s="12">
        <f>COUNTIF('ALLA ÅR'!B:B,Tabell4[[#This Row],[Namn]])</f>
        <v>1</v>
      </c>
      <c r="I199" s="12">
        <f>VLOOKUP(Tabell4[[#This Row],[Namn]],'ALLA ÅR'!B:L,11,0)</f>
        <v>14</v>
      </c>
      <c r="J199" s="12">
        <f>RANK(Tabell4[[#This Row],[MÅL]],F:F)</f>
        <v>107</v>
      </c>
      <c r="K199" s="12">
        <f>RANK(Tabell4[[#This Row],[VAR]],D:D)</f>
        <v>54</v>
      </c>
      <c r="L199" s="12">
        <f>RANK(Tabell4[[#This Row],[MAT]],C:C)</f>
        <v>174</v>
      </c>
      <c r="M199" s="14">
        <f>Tabell4[[#This Row],[MAT]]/Tabell4[[#This Row],[ANTAL MATCHER]]</f>
        <v>6.25E-2</v>
      </c>
      <c r="N199" s="12">
        <f>SUMIF('ALLA ÅR'!B:B,Tabell4[[#This Row],[Namn]],'ALLA ÅR'!H:H)</f>
        <v>16</v>
      </c>
      <c r="O199" s="12">
        <f>(Tabell4[[#This Row],[UTV]]*2)+Tabell4[[#This Row],[VAR]]</f>
        <v>0</v>
      </c>
      <c r="P199" s="12">
        <f>COUNTIF('100%'!B:B,Tabell4[[#This Row],[Namn]])</f>
        <v>0</v>
      </c>
      <c r="Q199" s="12">
        <f>_xlfn.XLOOKUP(Tabell4[[#This Row],[Namn]],Blad3!A:A,Blad3!B:B)</f>
        <v>0</v>
      </c>
      <c r="R199" s="12">
        <f>_xlfn.XLOOKUP(Tabell4[[#This Row],[Namn]],Blad3!A:A,Blad3!C:C)</f>
        <v>0</v>
      </c>
      <c r="S199" s="12">
        <f>_xlfn.XLOOKUP(Tabell4[[#This Row],[Namn]],Blad3!A:A,Blad3!D:D)</f>
        <v>1</v>
      </c>
      <c r="T199" s="12">
        <f>_xlfn.XLOOKUP(Tabell4[[#This Row],[Namn]],Blad3!A:A,Blad3!E:E)</f>
        <v>0</v>
      </c>
      <c r="U199" s="12">
        <f>RANK(Tabell4[[#This Row],[SÄS]],Tabell4[SÄS])</f>
        <v>114</v>
      </c>
      <c r="V199" s="12">
        <f>_xlfn.XLOOKUP(Tabell4[[#This Row],[Namn]],Blad3!H:H,Blad3!I:I)</f>
        <v>0</v>
      </c>
      <c r="W199" s="12">
        <f>_xlfn.XLOOKUP(Tabell4[[#This Row],[Namn]],Blad3!H:H,Blad3!J:J)</f>
        <v>0</v>
      </c>
      <c r="X199" s="12">
        <f>_xlfn.XLOOKUP(Tabell4[[#This Row],[Namn]],Blad3!H:H,Blad3!K:K)</f>
        <v>0</v>
      </c>
      <c r="Y199" s="12">
        <f>_xlfn.XLOOKUP(Tabell4[[#This Row],[Namn]],Blad3!H:H,Blad3!L:L)</f>
        <v>0</v>
      </c>
    </row>
    <row r="200" spans="1:25" x14ac:dyDescent="0.25">
      <c r="A200" s="12">
        <f>Tabell4[[#This Row],[RANK MATCHER]]</f>
        <v>174</v>
      </c>
      <c r="B200" s="11" t="s">
        <v>128</v>
      </c>
      <c r="C200" s="12">
        <f>SUMIF('ALLA ÅR'!B:B,Tabell4[[#This Row],[Namn]],'ALLA ÅR'!C:C)</f>
        <v>1</v>
      </c>
      <c r="D200" s="12">
        <f>SUMIF('ALLA ÅR'!B:B,Tabell4[[#This Row],[Namn]],'ALLA ÅR'!E:E)</f>
        <v>0</v>
      </c>
      <c r="E200" s="12">
        <f>SUMIF('ALLA ÅR'!B:B,Tabell4[[#This Row],[Namn]],'ALLA ÅR'!F:F)</f>
        <v>0</v>
      </c>
      <c r="F200" s="12">
        <f>SUMIF('ALLA ÅR'!B:B,Tabell4[[#This Row],[Namn]],'ALLA ÅR'!G:G)</f>
        <v>0</v>
      </c>
      <c r="G200" s="12">
        <f>VLOOKUP(Tabell4[[#This Row],[Namn]],'ALLA ÅR'!B:J,9,0)</f>
        <v>2017</v>
      </c>
      <c r="H200" s="12">
        <f>COUNTIF('ALLA ÅR'!B:B,Tabell4[[#This Row],[Namn]])</f>
        <v>1</v>
      </c>
      <c r="I200" s="12">
        <f>VLOOKUP(Tabell4[[#This Row],[Namn]],'ALLA ÅR'!B:L,11,0)</f>
        <v>15</v>
      </c>
      <c r="J200" s="12">
        <f>RANK(Tabell4[[#This Row],[MÅL]],F:F)</f>
        <v>107</v>
      </c>
      <c r="K200" s="12">
        <f>RANK(Tabell4[[#This Row],[VAR]],D:D)</f>
        <v>54</v>
      </c>
      <c r="L200" s="12">
        <f>RANK(Tabell4[[#This Row],[MAT]],C:C)</f>
        <v>174</v>
      </c>
      <c r="M200" s="14">
        <f>Tabell4[[#This Row],[MAT]]/Tabell4[[#This Row],[ANTAL MATCHER]]</f>
        <v>6.25E-2</v>
      </c>
      <c r="N200" s="12">
        <f>SUMIF('ALLA ÅR'!B:B,Tabell4[[#This Row],[Namn]],'ALLA ÅR'!H:H)</f>
        <v>16</v>
      </c>
      <c r="O200" s="12">
        <f>(Tabell4[[#This Row],[UTV]]*2)+Tabell4[[#This Row],[VAR]]</f>
        <v>0</v>
      </c>
      <c r="P200" s="12">
        <f>COUNTIF('100%'!B:B,Tabell4[[#This Row],[Namn]])</f>
        <v>0</v>
      </c>
      <c r="Q200" s="12">
        <f>_xlfn.XLOOKUP(Tabell4[[#This Row],[Namn]],Blad3!A:A,Blad3!B:B)</f>
        <v>0</v>
      </c>
      <c r="R200" s="12">
        <f>_xlfn.XLOOKUP(Tabell4[[#This Row],[Namn]],Blad3!A:A,Blad3!C:C)</f>
        <v>0</v>
      </c>
      <c r="S200" s="12">
        <f>_xlfn.XLOOKUP(Tabell4[[#This Row],[Namn]],Blad3!A:A,Blad3!D:D)</f>
        <v>1</v>
      </c>
      <c r="T200" s="12">
        <f>_xlfn.XLOOKUP(Tabell4[[#This Row],[Namn]],Blad3!A:A,Blad3!E:E)</f>
        <v>0</v>
      </c>
      <c r="U200" s="12">
        <f>RANK(Tabell4[[#This Row],[SÄS]],Tabell4[SÄS])</f>
        <v>114</v>
      </c>
      <c r="V200" s="12">
        <f>_xlfn.XLOOKUP(Tabell4[[#This Row],[Namn]],Blad3!H:H,Blad3!I:I)</f>
        <v>0</v>
      </c>
      <c r="W200" s="12">
        <f>_xlfn.XLOOKUP(Tabell4[[#This Row],[Namn]],Blad3!H:H,Blad3!J:J)</f>
        <v>0</v>
      </c>
      <c r="X200" s="12">
        <f>_xlfn.XLOOKUP(Tabell4[[#This Row],[Namn]],Blad3!H:H,Blad3!K:K)</f>
        <v>0</v>
      </c>
      <c r="Y200" s="12">
        <f>_xlfn.XLOOKUP(Tabell4[[#This Row],[Namn]],Blad3!H:H,Blad3!L:L)</f>
        <v>0</v>
      </c>
    </row>
    <row r="201" spans="1:25" x14ac:dyDescent="0.25">
      <c r="A201" s="12">
        <f>Tabell4[[#This Row],[RANK MATCHER]]</f>
        <v>174</v>
      </c>
      <c r="B201" s="11" t="s">
        <v>208</v>
      </c>
      <c r="C201" s="12">
        <f>SUMIF('ALLA ÅR'!B:B,Tabell4[[#This Row],[Namn]],'ALLA ÅR'!C:C)</f>
        <v>1</v>
      </c>
      <c r="D201" s="12">
        <f>SUMIF('ALLA ÅR'!B:B,Tabell4[[#This Row],[Namn]],'ALLA ÅR'!E:E)</f>
        <v>0</v>
      </c>
      <c r="E201" s="12">
        <f>SUMIF('ALLA ÅR'!B:B,Tabell4[[#This Row],[Namn]],'ALLA ÅR'!F:F)</f>
        <v>0</v>
      </c>
      <c r="F201" s="12">
        <f>SUMIF('ALLA ÅR'!B:B,Tabell4[[#This Row],[Namn]],'ALLA ÅR'!G:G)</f>
        <v>0</v>
      </c>
      <c r="G201" s="12">
        <f>VLOOKUP(Tabell4[[#This Row],[Namn]],'ALLA ÅR'!B:J,9,0)</f>
        <v>2010</v>
      </c>
      <c r="H201" s="12">
        <f>COUNTIF('ALLA ÅR'!B:B,Tabell4[[#This Row],[Namn]])</f>
        <v>1</v>
      </c>
      <c r="I201" s="12">
        <f>VLOOKUP(Tabell4[[#This Row],[Namn]],'ALLA ÅR'!B:L,11,0)</f>
        <v>21</v>
      </c>
      <c r="J201" s="12">
        <f>RANK(Tabell4[[#This Row],[MÅL]],F:F)</f>
        <v>107</v>
      </c>
      <c r="K201" s="12">
        <f>RANK(Tabell4[[#This Row],[VAR]],D:D)</f>
        <v>54</v>
      </c>
      <c r="L201" s="12">
        <f>RANK(Tabell4[[#This Row],[MAT]],C:C)</f>
        <v>174</v>
      </c>
      <c r="M201" s="14">
        <f>Tabell4[[#This Row],[MAT]]/Tabell4[[#This Row],[ANTAL MATCHER]]</f>
        <v>4.5454545454545456E-2</v>
      </c>
      <c r="N201" s="12">
        <f>SUMIF('ALLA ÅR'!B:B,Tabell4[[#This Row],[Namn]],'ALLA ÅR'!H:H)</f>
        <v>22</v>
      </c>
      <c r="O201" s="12">
        <f>(Tabell4[[#This Row],[UTV]]*2)+Tabell4[[#This Row],[VAR]]</f>
        <v>0</v>
      </c>
      <c r="P201" s="12">
        <f>COUNTIF('100%'!B:B,Tabell4[[#This Row],[Namn]])</f>
        <v>0</v>
      </c>
      <c r="Q201" s="12">
        <f>_xlfn.XLOOKUP(Tabell4[[#This Row],[Namn]],Blad3!A:A,Blad3!B:B)</f>
        <v>0</v>
      </c>
      <c r="R201" s="12">
        <f>_xlfn.XLOOKUP(Tabell4[[#This Row],[Namn]],Blad3!A:A,Blad3!C:C)</f>
        <v>0</v>
      </c>
      <c r="S201" s="12">
        <f>_xlfn.XLOOKUP(Tabell4[[#This Row],[Namn]],Blad3!A:A,Blad3!D:D)</f>
        <v>1</v>
      </c>
      <c r="T201" s="12">
        <f>_xlfn.XLOOKUP(Tabell4[[#This Row],[Namn]],Blad3!A:A,Blad3!E:E)</f>
        <v>0</v>
      </c>
      <c r="U201" s="12">
        <f>RANK(Tabell4[[#This Row],[SÄS]],Tabell4[SÄS])</f>
        <v>114</v>
      </c>
      <c r="V201" s="12">
        <f>_xlfn.XLOOKUP(Tabell4[[#This Row],[Namn]],Blad3!H:H,Blad3!I:I)</f>
        <v>0</v>
      </c>
      <c r="W201" s="12">
        <f>_xlfn.XLOOKUP(Tabell4[[#This Row],[Namn]],Blad3!H:H,Blad3!J:J)</f>
        <v>0</v>
      </c>
      <c r="X201" s="12">
        <f>_xlfn.XLOOKUP(Tabell4[[#This Row],[Namn]],Blad3!H:H,Blad3!K:K)</f>
        <v>0</v>
      </c>
      <c r="Y201" s="12">
        <f>_xlfn.XLOOKUP(Tabell4[[#This Row],[Namn]],Blad3!H:H,Blad3!L:L)</f>
        <v>0</v>
      </c>
    </row>
    <row r="202" spans="1:25" x14ac:dyDescent="0.25">
      <c r="T202"/>
      <c r="U202"/>
      <c r="Y202" s="1"/>
    </row>
    <row r="203" spans="1:25" x14ac:dyDescent="0.25">
      <c r="T203"/>
      <c r="U203"/>
      <c r="Y203" s="1"/>
    </row>
    <row r="204" spans="1:25" x14ac:dyDescent="0.25">
      <c r="T204"/>
      <c r="U204"/>
      <c r="Y204" s="1"/>
    </row>
    <row r="205" spans="1:25" x14ac:dyDescent="0.25">
      <c r="T205"/>
      <c r="U205"/>
      <c r="Y205" s="1"/>
    </row>
    <row r="206" spans="1:25" x14ac:dyDescent="0.25">
      <c r="T206"/>
      <c r="U206"/>
      <c r="Y206" s="1"/>
    </row>
    <row r="207" spans="1:25" x14ac:dyDescent="0.25">
      <c r="T207"/>
      <c r="U207"/>
      <c r="Y207" s="1"/>
    </row>
    <row r="208" spans="1:25" x14ac:dyDescent="0.25">
      <c r="T208"/>
      <c r="U208"/>
      <c r="Y208" s="1"/>
    </row>
    <row r="209" spans="20:25" x14ac:dyDescent="0.25">
      <c r="T209"/>
      <c r="U209"/>
      <c r="Y209" s="1"/>
    </row>
    <row r="210" spans="20:25" x14ac:dyDescent="0.25">
      <c r="T210"/>
      <c r="U210"/>
      <c r="Y210" s="1"/>
    </row>
    <row r="211" spans="20:25" x14ac:dyDescent="0.25">
      <c r="T211"/>
      <c r="U211"/>
      <c r="Y211" s="1"/>
    </row>
    <row r="212" spans="20:25" x14ac:dyDescent="0.25">
      <c r="T212"/>
      <c r="U212"/>
      <c r="Y212" s="1"/>
    </row>
    <row r="213" spans="20:25" x14ac:dyDescent="0.25">
      <c r="T213"/>
      <c r="U213"/>
      <c r="Y213" s="1"/>
    </row>
    <row r="214" spans="20:25" x14ac:dyDescent="0.25">
      <c r="T214"/>
      <c r="U214"/>
      <c r="Y214" s="1"/>
    </row>
    <row r="215" spans="20:25" x14ac:dyDescent="0.25">
      <c r="T215"/>
      <c r="U215"/>
      <c r="Y215" s="1"/>
    </row>
    <row r="216" spans="20:25" x14ac:dyDescent="0.25">
      <c r="T216"/>
      <c r="U216"/>
      <c r="Y216" s="1"/>
    </row>
    <row r="217" spans="20:25" x14ac:dyDescent="0.25">
      <c r="T217"/>
      <c r="U217"/>
      <c r="Y217" s="1"/>
    </row>
    <row r="218" spans="20:25" x14ac:dyDescent="0.25">
      <c r="T218"/>
      <c r="U218"/>
      <c r="Y218" s="1"/>
    </row>
    <row r="219" spans="20:25" x14ac:dyDescent="0.25">
      <c r="T219"/>
      <c r="U219"/>
      <c r="Y219" s="1"/>
    </row>
    <row r="220" spans="20:25" x14ac:dyDescent="0.25">
      <c r="T220"/>
      <c r="U220"/>
      <c r="Y220" s="1"/>
    </row>
    <row r="221" spans="20:25" x14ac:dyDescent="0.25">
      <c r="T221"/>
      <c r="U221"/>
      <c r="Y221" s="1"/>
    </row>
    <row r="222" spans="20:25" x14ac:dyDescent="0.25">
      <c r="T222"/>
      <c r="U222"/>
      <c r="Y222" s="1"/>
    </row>
    <row r="223" spans="20:25" x14ac:dyDescent="0.25">
      <c r="T223"/>
      <c r="U223"/>
      <c r="Y223" s="1"/>
    </row>
    <row r="224" spans="20:25" x14ac:dyDescent="0.25">
      <c r="T224"/>
      <c r="U224"/>
      <c r="Y224" s="1"/>
    </row>
    <row r="225" spans="20:25" x14ac:dyDescent="0.25">
      <c r="T225"/>
      <c r="U225"/>
      <c r="Y225" s="1"/>
    </row>
    <row r="226" spans="20:25" x14ac:dyDescent="0.25">
      <c r="T226"/>
      <c r="U226"/>
      <c r="Y226" s="1"/>
    </row>
    <row r="227" spans="20:25" x14ac:dyDescent="0.25">
      <c r="T227"/>
      <c r="U227"/>
      <c r="Y227" s="1"/>
    </row>
    <row r="228" spans="20:25" x14ac:dyDescent="0.25">
      <c r="T228"/>
      <c r="U228"/>
      <c r="Y228" s="1"/>
    </row>
    <row r="229" spans="20:25" x14ac:dyDescent="0.25">
      <c r="T229"/>
      <c r="U229"/>
      <c r="Y229" s="1"/>
    </row>
    <row r="230" spans="20:25" x14ac:dyDescent="0.25">
      <c r="T230"/>
      <c r="U230"/>
      <c r="Y230" s="1"/>
    </row>
    <row r="231" spans="20:25" x14ac:dyDescent="0.25">
      <c r="T231"/>
      <c r="U231"/>
      <c r="Y231" s="1"/>
    </row>
    <row r="232" spans="20:25" x14ac:dyDescent="0.25">
      <c r="T232"/>
      <c r="U232"/>
      <c r="Y232" s="1"/>
    </row>
    <row r="233" spans="20:25" x14ac:dyDescent="0.25">
      <c r="T233"/>
      <c r="U233"/>
      <c r="Y233" s="1"/>
    </row>
    <row r="234" spans="20:25" x14ac:dyDescent="0.25">
      <c r="T234"/>
      <c r="U234"/>
      <c r="Y234" s="1"/>
    </row>
    <row r="235" spans="20:25" x14ac:dyDescent="0.25">
      <c r="T235"/>
      <c r="U235"/>
      <c r="Y235" s="1"/>
    </row>
    <row r="236" spans="20:25" x14ac:dyDescent="0.25">
      <c r="T236"/>
      <c r="U236"/>
      <c r="Y236" s="1"/>
    </row>
    <row r="237" spans="20:25" x14ac:dyDescent="0.25">
      <c r="T237"/>
      <c r="U237"/>
      <c r="Y237" s="1"/>
    </row>
    <row r="238" spans="20:25" x14ac:dyDescent="0.25">
      <c r="T238"/>
      <c r="U238"/>
      <c r="Y238" s="1"/>
    </row>
    <row r="239" spans="20:25" x14ac:dyDescent="0.25">
      <c r="T239"/>
      <c r="U239"/>
      <c r="Y239" s="1"/>
    </row>
    <row r="240" spans="20:25" x14ac:dyDescent="0.25">
      <c r="T240"/>
      <c r="U240"/>
      <c r="Y240" s="1"/>
    </row>
    <row r="241" spans="20:25" x14ac:dyDescent="0.25">
      <c r="T241"/>
      <c r="U241"/>
      <c r="Y241" s="1"/>
    </row>
    <row r="242" spans="20:25" x14ac:dyDescent="0.25">
      <c r="T242"/>
      <c r="U242"/>
      <c r="Y242" s="1"/>
    </row>
    <row r="243" spans="20:25" x14ac:dyDescent="0.25">
      <c r="T243"/>
      <c r="U243"/>
      <c r="Y243" s="1"/>
    </row>
    <row r="244" spans="20:25" x14ac:dyDescent="0.25">
      <c r="T244"/>
      <c r="U244"/>
      <c r="Y244" s="1"/>
    </row>
    <row r="245" spans="20:25" x14ac:dyDescent="0.25">
      <c r="T245"/>
      <c r="U245"/>
      <c r="Y245" s="1"/>
    </row>
    <row r="246" spans="20:25" x14ac:dyDescent="0.25">
      <c r="T246"/>
      <c r="U246"/>
      <c r="Y246" s="1"/>
    </row>
    <row r="247" spans="20:25" x14ac:dyDescent="0.25">
      <c r="T247"/>
      <c r="U247"/>
      <c r="Y247" s="1"/>
    </row>
    <row r="248" spans="20:25" x14ac:dyDescent="0.25">
      <c r="T248"/>
      <c r="U248"/>
      <c r="Y248" s="1"/>
    </row>
    <row r="249" spans="20:25" x14ac:dyDescent="0.25">
      <c r="T249"/>
      <c r="U249"/>
      <c r="Y249" s="1"/>
    </row>
    <row r="250" spans="20:25" x14ac:dyDescent="0.25">
      <c r="T250"/>
      <c r="U250"/>
      <c r="Y250" s="1"/>
    </row>
    <row r="251" spans="20:25" x14ac:dyDescent="0.25">
      <c r="T251"/>
      <c r="U251"/>
      <c r="Y251" s="1"/>
    </row>
    <row r="252" spans="20:25" x14ac:dyDescent="0.25">
      <c r="T252"/>
      <c r="U252"/>
      <c r="Y252" s="1"/>
    </row>
    <row r="253" spans="20:25" x14ac:dyDescent="0.25">
      <c r="T253"/>
      <c r="U253"/>
      <c r="Y253" s="1"/>
    </row>
    <row r="254" spans="20:25" x14ac:dyDescent="0.25">
      <c r="T254"/>
      <c r="U254"/>
      <c r="Y254" s="1"/>
    </row>
    <row r="255" spans="20:25" x14ac:dyDescent="0.25">
      <c r="T255"/>
      <c r="U255"/>
      <c r="Y255" s="1"/>
    </row>
    <row r="256" spans="20:25" x14ac:dyDescent="0.25">
      <c r="T256"/>
      <c r="U256"/>
      <c r="Y256" s="1"/>
    </row>
    <row r="257" spans="20:25" x14ac:dyDescent="0.25">
      <c r="T257"/>
      <c r="U257"/>
      <c r="Y257" s="1"/>
    </row>
    <row r="258" spans="20:25" x14ac:dyDescent="0.25">
      <c r="T258"/>
      <c r="U258"/>
      <c r="Y258" s="1"/>
    </row>
    <row r="259" spans="20:25" x14ac:dyDescent="0.25">
      <c r="T259"/>
      <c r="U259"/>
      <c r="Y259" s="1"/>
    </row>
    <row r="260" spans="20:25" x14ac:dyDescent="0.25">
      <c r="T260"/>
      <c r="U260"/>
      <c r="Y260" s="1"/>
    </row>
    <row r="261" spans="20:25" x14ac:dyDescent="0.25">
      <c r="T261"/>
      <c r="U261"/>
      <c r="Y261" s="1"/>
    </row>
    <row r="262" spans="20:25" x14ac:dyDescent="0.25">
      <c r="T262"/>
      <c r="U262"/>
      <c r="Y262" s="1"/>
    </row>
    <row r="263" spans="20:25" x14ac:dyDescent="0.25">
      <c r="T263"/>
      <c r="U263"/>
      <c r="Y263" s="1"/>
    </row>
    <row r="264" spans="20:25" x14ac:dyDescent="0.25">
      <c r="T264"/>
      <c r="U264"/>
      <c r="Y264" s="1"/>
    </row>
    <row r="265" spans="20:25" x14ac:dyDescent="0.25">
      <c r="T265"/>
      <c r="U265"/>
      <c r="Y265" s="1"/>
    </row>
    <row r="266" spans="20:25" x14ac:dyDescent="0.25">
      <c r="T266"/>
      <c r="U266"/>
      <c r="Y266" s="1"/>
    </row>
    <row r="267" spans="20:25" x14ac:dyDescent="0.25">
      <c r="T267"/>
      <c r="U267"/>
      <c r="Y267" s="1"/>
    </row>
    <row r="268" spans="20:25" x14ac:dyDescent="0.25">
      <c r="T268"/>
      <c r="U268"/>
      <c r="Y268" s="1"/>
    </row>
    <row r="269" spans="20:25" x14ac:dyDescent="0.25">
      <c r="T269"/>
      <c r="U269"/>
      <c r="Y269" s="1"/>
    </row>
    <row r="270" spans="20:25" x14ac:dyDescent="0.25">
      <c r="T270"/>
      <c r="U270"/>
      <c r="Y270" s="1"/>
    </row>
    <row r="271" spans="20:25" x14ac:dyDescent="0.25">
      <c r="T271"/>
      <c r="U271"/>
      <c r="Y271" s="1"/>
    </row>
    <row r="272" spans="20:25" x14ac:dyDescent="0.25">
      <c r="T272"/>
      <c r="U272"/>
      <c r="Y272" s="1"/>
    </row>
    <row r="273" spans="20:25" x14ac:dyDescent="0.25">
      <c r="T273"/>
      <c r="U273"/>
      <c r="Y273" s="1"/>
    </row>
    <row r="274" spans="20:25" x14ac:dyDescent="0.25">
      <c r="T274"/>
      <c r="U274"/>
      <c r="Y274" s="1"/>
    </row>
    <row r="275" spans="20:25" x14ac:dyDescent="0.25">
      <c r="T275"/>
      <c r="U275"/>
      <c r="Y275" s="1"/>
    </row>
    <row r="276" spans="20:25" x14ac:dyDescent="0.25">
      <c r="T276"/>
      <c r="U276"/>
      <c r="Y276" s="1"/>
    </row>
    <row r="277" spans="20:25" x14ac:dyDescent="0.25">
      <c r="T277"/>
      <c r="U277"/>
      <c r="Y277" s="1"/>
    </row>
    <row r="278" spans="20:25" x14ac:dyDescent="0.25">
      <c r="T278"/>
      <c r="U278"/>
      <c r="Y278" s="1"/>
    </row>
    <row r="279" spans="20:25" x14ac:dyDescent="0.25">
      <c r="T279"/>
      <c r="U279"/>
      <c r="Y279" s="1"/>
    </row>
    <row r="280" spans="20:25" x14ac:dyDescent="0.25">
      <c r="T280"/>
      <c r="U280"/>
      <c r="Y280" s="1"/>
    </row>
    <row r="281" spans="20:25" x14ac:dyDescent="0.25">
      <c r="T281"/>
      <c r="U281"/>
      <c r="Y281" s="1"/>
    </row>
    <row r="282" spans="20:25" x14ac:dyDescent="0.25">
      <c r="T282"/>
      <c r="U282"/>
      <c r="Y282" s="1"/>
    </row>
    <row r="283" spans="20:25" x14ac:dyDescent="0.25">
      <c r="T283"/>
      <c r="U283"/>
      <c r="Y283" s="1"/>
    </row>
    <row r="284" spans="20:25" x14ac:dyDescent="0.25">
      <c r="T284"/>
      <c r="U284"/>
      <c r="Y284" s="1"/>
    </row>
    <row r="285" spans="20:25" x14ac:dyDescent="0.25">
      <c r="T285"/>
      <c r="U285"/>
      <c r="Y285" s="1"/>
    </row>
    <row r="286" spans="20:25" x14ac:dyDescent="0.25">
      <c r="T286"/>
      <c r="U286"/>
      <c r="Y286" s="1"/>
    </row>
    <row r="287" spans="20:25" x14ac:dyDescent="0.25">
      <c r="T287"/>
      <c r="U287"/>
      <c r="Y287" s="1"/>
    </row>
    <row r="288" spans="20:25" x14ac:dyDescent="0.25">
      <c r="T288"/>
      <c r="U288"/>
      <c r="Y288" s="1"/>
    </row>
    <row r="289" spans="20:25" x14ac:dyDescent="0.25">
      <c r="T289"/>
      <c r="U289"/>
      <c r="Y289" s="1"/>
    </row>
    <row r="290" spans="20:25" x14ac:dyDescent="0.25">
      <c r="T290"/>
      <c r="U290"/>
      <c r="Y290" s="1"/>
    </row>
    <row r="291" spans="20:25" x14ac:dyDescent="0.25">
      <c r="T291"/>
      <c r="U291"/>
      <c r="Y291" s="1"/>
    </row>
    <row r="292" spans="20:25" x14ac:dyDescent="0.25">
      <c r="T292"/>
      <c r="U292"/>
      <c r="Y292" s="1"/>
    </row>
    <row r="293" spans="20:25" x14ac:dyDescent="0.25">
      <c r="T293"/>
      <c r="U293"/>
      <c r="Y293" s="1"/>
    </row>
    <row r="294" spans="20:25" x14ac:dyDescent="0.25">
      <c r="T294"/>
      <c r="U294"/>
      <c r="Y294" s="1"/>
    </row>
    <row r="295" spans="20:25" x14ac:dyDescent="0.25">
      <c r="T295"/>
      <c r="U295"/>
      <c r="Y295" s="1"/>
    </row>
    <row r="296" spans="20:25" x14ac:dyDescent="0.25">
      <c r="T296"/>
      <c r="U296"/>
      <c r="Y296" s="1"/>
    </row>
    <row r="297" spans="20:25" x14ac:dyDescent="0.25">
      <c r="T297"/>
      <c r="U297"/>
      <c r="Y297" s="1"/>
    </row>
    <row r="298" spans="20:25" x14ac:dyDescent="0.25">
      <c r="T298"/>
      <c r="U298"/>
      <c r="Y298" s="1"/>
    </row>
    <row r="299" spans="20:25" x14ac:dyDescent="0.25">
      <c r="T299"/>
      <c r="U299"/>
      <c r="Y299" s="1"/>
    </row>
    <row r="300" spans="20:25" x14ac:dyDescent="0.25">
      <c r="T300"/>
      <c r="U300"/>
      <c r="Y300" s="1"/>
    </row>
    <row r="301" spans="20:25" x14ac:dyDescent="0.25">
      <c r="T301"/>
      <c r="U301"/>
      <c r="Y301" s="1"/>
    </row>
    <row r="302" spans="20:25" x14ac:dyDescent="0.25">
      <c r="T302"/>
      <c r="U302"/>
      <c r="Y302" s="1"/>
    </row>
    <row r="303" spans="20:25" x14ac:dyDescent="0.25">
      <c r="T303"/>
      <c r="U303"/>
      <c r="Y303" s="1"/>
    </row>
    <row r="304" spans="20:25" x14ac:dyDescent="0.25">
      <c r="T304"/>
      <c r="U304"/>
      <c r="Y304" s="1"/>
    </row>
    <row r="305" spans="20:25" x14ac:dyDescent="0.25">
      <c r="T305"/>
      <c r="U305"/>
      <c r="Y305" s="1"/>
    </row>
    <row r="306" spans="20:25" x14ac:dyDescent="0.25">
      <c r="T306"/>
      <c r="U306"/>
      <c r="Y306" s="1"/>
    </row>
    <row r="307" spans="20:25" x14ac:dyDescent="0.25">
      <c r="T307"/>
      <c r="U307"/>
      <c r="Y307" s="1"/>
    </row>
    <row r="308" spans="20:25" x14ac:dyDescent="0.25">
      <c r="T308"/>
      <c r="U308"/>
      <c r="Y308" s="1"/>
    </row>
    <row r="309" spans="20:25" x14ac:dyDescent="0.25">
      <c r="T309"/>
      <c r="U309"/>
      <c r="Y309" s="1"/>
    </row>
    <row r="310" spans="20:25" x14ac:dyDescent="0.25">
      <c r="T310"/>
      <c r="U310"/>
      <c r="Y310" s="1"/>
    </row>
    <row r="311" spans="20:25" x14ac:dyDescent="0.25">
      <c r="T311"/>
      <c r="U311"/>
      <c r="Y311" s="1"/>
    </row>
    <row r="312" spans="20:25" x14ac:dyDescent="0.25">
      <c r="T312"/>
      <c r="U312"/>
      <c r="Y312" s="1"/>
    </row>
    <row r="313" spans="20:25" x14ac:dyDescent="0.25">
      <c r="T313"/>
      <c r="U313"/>
      <c r="Y313" s="1"/>
    </row>
    <row r="314" spans="20:25" x14ac:dyDescent="0.25">
      <c r="T314"/>
      <c r="U314"/>
      <c r="Y314" s="1"/>
    </row>
    <row r="315" spans="20:25" x14ac:dyDescent="0.25">
      <c r="T315"/>
      <c r="U315"/>
      <c r="Y315" s="1"/>
    </row>
    <row r="316" spans="20:25" x14ac:dyDescent="0.25">
      <c r="T316"/>
      <c r="U316"/>
      <c r="Y316" s="1"/>
    </row>
    <row r="317" spans="20:25" x14ac:dyDescent="0.25">
      <c r="T317"/>
      <c r="U317"/>
      <c r="Y317" s="1"/>
    </row>
    <row r="318" spans="20:25" x14ac:dyDescent="0.25">
      <c r="T318"/>
      <c r="U318"/>
      <c r="Y318" s="1"/>
    </row>
    <row r="319" spans="20:25" x14ac:dyDescent="0.25">
      <c r="T319"/>
      <c r="U319"/>
      <c r="Y319" s="1"/>
    </row>
    <row r="320" spans="20:25" x14ac:dyDescent="0.25">
      <c r="T320"/>
      <c r="U320"/>
      <c r="Y320" s="1"/>
    </row>
    <row r="321" spans="20:25" x14ac:dyDescent="0.25">
      <c r="T321"/>
      <c r="U321"/>
      <c r="Y321" s="1"/>
    </row>
    <row r="322" spans="20:25" x14ac:dyDescent="0.25">
      <c r="T322"/>
      <c r="U322"/>
      <c r="Y322" s="1"/>
    </row>
    <row r="323" spans="20:25" x14ac:dyDescent="0.25">
      <c r="T323"/>
      <c r="U323"/>
      <c r="Y323" s="1"/>
    </row>
    <row r="324" spans="20:25" x14ac:dyDescent="0.25">
      <c r="T324"/>
      <c r="U324"/>
      <c r="Y324" s="1"/>
    </row>
    <row r="325" spans="20:25" x14ac:dyDescent="0.25">
      <c r="T325"/>
      <c r="U325"/>
      <c r="Y325" s="1"/>
    </row>
    <row r="326" spans="20:25" x14ac:dyDescent="0.25">
      <c r="T326"/>
      <c r="U326"/>
      <c r="Y326" s="1"/>
    </row>
    <row r="327" spans="20:25" x14ac:dyDescent="0.25">
      <c r="T327"/>
      <c r="U327"/>
      <c r="Y327" s="1"/>
    </row>
    <row r="328" spans="20:25" x14ac:dyDescent="0.25">
      <c r="T328"/>
      <c r="U328"/>
      <c r="Y328" s="1"/>
    </row>
    <row r="329" spans="20:25" x14ac:dyDescent="0.25">
      <c r="T329"/>
      <c r="U329"/>
      <c r="Y329" s="1"/>
    </row>
    <row r="330" spans="20:25" x14ac:dyDescent="0.25">
      <c r="T330"/>
      <c r="U330"/>
      <c r="Y330" s="1"/>
    </row>
    <row r="331" spans="20:25" x14ac:dyDescent="0.25">
      <c r="T331"/>
      <c r="U331"/>
      <c r="Y331" s="1"/>
    </row>
    <row r="332" spans="20:25" x14ac:dyDescent="0.25">
      <c r="T332"/>
      <c r="U332"/>
      <c r="Y332" s="1"/>
    </row>
    <row r="333" spans="20:25" x14ac:dyDescent="0.25">
      <c r="T333"/>
      <c r="U333"/>
      <c r="Y333" s="1"/>
    </row>
    <row r="334" spans="20:25" x14ac:dyDescent="0.25">
      <c r="T334"/>
      <c r="U334"/>
      <c r="Y334" s="1"/>
    </row>
    <row r="335" spans="20:25" x14ac:dyDescent="0.25">
      <c r="T335"/>
      <c r="U335"/>
      <c r="Y335" s="1"/>
    </row>
    <row r="336" spans="20:25" x14ac:dyDescent="0.25">
      <c r="T336"/>
      <c r="U336"/>
      <c r="Y336" s="1"/>
    </row>
    <row r="337" spans="20:25" x14ac:dyDescent="0.25">
      <c r="T337"/>
      <c r="U337"/>
      <c r="Y337" s="1"/>
    </row>
    <row r="338" spans="20:25" x14ac:dyDescent="0.25">
      <c r="T338"/>
      <c r="U338"/>
      <c r="Y338" s="1"/>
    </row>
    <row r="339" spans="20:25" x14ac:dyDescent="0.25">
      <c r="T339"/>
      <c r="U339"/>
      <c r="Y339" s="1"/>
    </row>
    <row r="340" spans="20:25" x14ac:dyDescent="0.25">
      <c r="T340"/>
      <c r="U340"/>
      <c r="Y340" s="1"/>
    </row>
    <row r="341" spans="20:25" x14ac:dyDescent="0.25">
      <c r="T341"/>
      <c r="U341"/>
      <c r="Y341" s="1"/>
    </row>
    <row r="342" spans="20:25" x14ac:dyDescent="0.25">
      <c r="T342"/>
      <c r="U342"/>
      <c r="Y342" s="1"/>
    </row>
    <row r="343" spans="20:25" x14ac:dyDescent="0.25">
      <c r="T343"/>
      <c r="U343"/>
      <c r="Y343" s="1"/>
    </row>
    <row r="344" spans="20:25" x14ac:dyDescent="0.25">
      <c r="T344"/>
      <c r="U344"/>
      <c r="Y344" s="1"/>
    </row>
    <row r="345" spans="20:25" x14ac:dyDescent="0.25">
      <c r="T345"/>
      <c r="U345"/>
      <c r="Y345" s="1"/>
    </row>
    <row r="346" spans="20:25" x14ac:dyDescent="0.25">
      <c r="T346"/>
      <c r="U346"/>
      <c r="Y346" s="1"/>
    </row>
    <row r="347" spans="20:25" x14ac:dyDescent="0.25">
      <c r="T347"/>
      <c r="U347"/>
      <c r="Y347" s="1"/>
    </row>
    <row r="348" spans="20:25" x14ac:dyDescent="0.25">
      <c r="T348"/>
      <c r="U348"/>
      <c r="Y348" s="1"/>
    </row>
    <row r="349" spans="20:25" x14ac:dyDescent="0.25">
      <c r="T349"/>
      <c r="U349"/>
      <c r="Y349" s="1"/>
    </row>
    <row r="350" spans="20:25" x14ac:dyDescent="0.25">
      <c r="T350"/>
      <c r="U350"/>
      <c r="Y350" s="1"/>
    </row>
    <row r="351" spans="20:25" x14ac:dyDescent="0.25">
      <c r="T351"/>
      <c r="U351"/>
      <c r="Y351" s="1"/>
    </row>
    <row r="352" spans="20:25" x14ac:dyDescent="0.25">
      <c r="T352"/>
      <c r="U352"/>
      <c r="Y352" s="1"/>
    </row>
    <row r="353" spans="20:25" x14ac:dyDescent="0.25">
      <c r="T353"/>
      <c r="U353"/>
      <c r="Y353" s="1"/>
    </row>
    <row r="354" spans="20:25" x14ac:dyDescent="0.25">
      <c r="T354"/>
      <c r="U354"/>
      <c r="Y354" s="1"/>
    </row>
    <row r="355" spans="20:25" x14ac:dyDescent="0.25">
      <c r="T355"/>
      <c r="U355"/>
      <c r="Y355" s="1"/>
    </row>
    <row r="356" spans="20:25" x14ac:dyDescent="0.25">
      <c r="T356"/>
      <c r="U356"/>
      <c r="Y356" s="1"/>
    </row>
    <row r="357" spans="20:25" x14ac:dyDescent="0.25">
      <c r="T357"/>
      <c r="U357"/>
      <c r="Y357" s="1"/>
    </row>
    <row r="358" spans="20:25" x14ac:dyDescent="0.25">
      <c r="T358"/>
      <c r="U358"/>
      <c r="Y358" s="1"/>
    </row>
    <row r="359" spans="20:25" x14ac:dyDescent="0.25">
      <c r="T359"/>
      <c r="U359"/>
      <c r="Y359" s="1"/>
    </row>
    <row r="360" spans="20:25" x14ac:dyDescent="0.25">
      <c r="T360"/>
      <c r="U360"/>
      <c r="Y360" s="1"/>
    </row>
    <row r="361" spans="20:25" x14ac:dyDescent="0.25">
      <c r="T361"/>
      <c r="U361"/>
      <c r="Y361" s="1"/>
    </row>
    <row r="362" spans="20:25" x14ac:dyDescent="0.25">
      <c r="T362"/>
      <c r="U362"/>
      <c r="Y362" s="1"/>
    </row>
    <row r="363" spans="20:25" x14ac:dyDescent="0.25">
      <c r="T363"/>
      <c r="U363"/>
      <c r="Y363" s="1"/>
    </row>
    <row r="364" spans="20:25" x14ac:dyDescent="0.25">
      <c r="T364"/>
      <c r="U364"/>
      <c r="Y364" s="1"/>
    </row>
    <row r="365" spans="20:25" x14ac:dyDescent="0.25">
      <c r="T365"/>
      <c r="U365"/>
      <c r="Y365" s="1"/>
    </row>
    <row r="366" spans="20:25" x14ac:dyDescent="0.25">
      <c r="T366"/>
      <c r="U366"/>
      <c r="Y366" s="1"/>
    </row>
    <row r="367" spans="20:25" x14ac:dyDescent="0.25">
      <c r="T367"/>
      <c r="U367"/>
      <c r="Y367" s="1"/>
    </row>
    <row r="368" spans="20:25" x14ac:dyDescent="0.25">
      <c r="T368"/>
      <c r="U368"/>
      <c r="Y368" s="1"/>
    </row>
    <row r="369" spans="20:25" x14ac:dyDescent="0.25">
      <c r="T369"/>
      <c r="U369"/>
      <c r="Y369" s="1"/>
    </row>
    <row r="370" spans="20:25" x14ac:dyDescent="0.25">
      <c r="T370"/>
      <c r="U370"/>
      <c r="Y370" s="1"/>
    </row>
    <row r="371" spans="20:25" x14ac:dyDescent="0.25">
      <c r="T371"/>
      <c r="U371"/>
      <c r="Y371" s="1"/>
    </row>
    <row r="372" spans="20:25" x14ac:dyDescent="0.25">
      <c r="T372"/>
      <c r="U372"/>
      <c r="Y372" s="1"/>
    </row>
    <row r="373" spans="20:25" x14ac:dyDescent="0.25">
      <c r="T373"/>
      <c r="U373"/>
      <c r="Y373" s="1"/>
    </row>
    <row r="374" spans="20:25" x14ac:dyDescent="0.25">
      <c r="T374"/>
      <c r="U374"/>
      <c r="Y374" s="1"/>
    </row>
    <row r="375" spans="20:25" x14ac:dyDescent="0.25">
      <c r="T375"/>
      <c r="U375"/>
      <c r="Y375" s="1"/>
    </row>
    <row r="376" spans="20:25" x14ac:dyDescent="0.25">
      <c r="T376"/>
      <c r="U376"/>
      <c r="Y376" s="1"/>
    </row>
    <row r="377" spans="20:25" x14ac:dyDescent="0.25">
      <c r="T377"/>
      <c r="U377"/>
      <c r="Y377" s="1"/>
    </row>
    <row r="378" spans="20:25" x14ac:dyDescent="0.25">
      <c r="T378"/>
      <c r="U378"/>
      <c r="Y378" s="1"/>
    </row>
    <row r="379" spans="20:25" x14ac:dyDescent="0.25">
      <c r="T379"/>
      <c r="U379"/>
      <c r="Y379" s="1"/>
    </row>
    <row r="380" spans="20:25" x14ac:dyDescent="0.25">
      <c r="T380"/>
      <c r="U380"/>
      <c r="Y380" s="1"/>
    </row>
    <row r="381" spans="20:25" x14ac:dyDescent="0.25">
      <c r="T381"/>
      <c r="U381"/>
      <c r="Y381" s="1"/>
    </row>
    <row r="382" spans="20:25" x14ac:dyDescent="0.25">
      <c r="T382"/>
      <c r="U382"/>
      <c r="Y382" s="1"/>
    </row>
    <row r="383" spans="20:25" x14ac:dyDescent="0.25">
      <c r="T383"/>
      <c r="U383"/>
      <c r="Y383" s="1"/>
    </row>
    <row r="384" spans="20:25" x14ac:dyDescent="0.25">
      <c r="T384"/>
      <c r="U384"/>
      <c r="Y384" s="1"/>
    </row>
    <row r="385" spans="20:25" x14ac:dyDescent="0.25">
      <c r="T385"/>
      <c r="U385"/>
      <c r="Y385" s="1"/>
    </row>
    <row r="386" spans="20:25" x14ac:dyDescent="0.25">
      <c r="T386"/>
      <c r="U386"/>
      <c r="Y386" s="1"/>
    </row>
    <row r="387" spans="20:25" x14ac:dyDescent="0.25">
      <c r="T387"/>
      <c r="U387"/>
      <c r="Y387" s="1"/>
    </row>
    <row r="388" spans="20:25" x14ac:dyDescent="0.25">
      <c r="T388"/>
      <c r="U388"/>
      <c r="Y388" s="1"/>
    </row>
    <row r="389" spans="20:25" x14ac:dyDescent="0.25">
      <c r="T389"/>
      <c r="U389"/>
      <c r="Y389" s="1"/>
    </row>
    <row r="390" spans="20:25" x14ac:dyDescent="0.25">
      <c r="T390"/>
      <c r="U390"/>
      <c r="Y390" s="1"/>
    </row>
    <row r="391" spans="20:25" x14ac:dyDescent="0.25">
      <c r="T391"/>
      <c r="U391"/>
      <c r="Y391" s="1"/>
    </row>
    <row r="392" spans="20:25" x14ac:dyDescent="0.25">
      <c r="T392"/>
      <c r="U392"/>
      <c r="Y392" s="1"/>
    </row>
    <row r="393" spans="20:25" x14ac:dyDescent="0.25">
      <c r="T393"/>
      <c r="U393"/>
      <c r="Y393" s="1"/>
    </row>
    <row r="394" spans="20:25" x14ac:dyDescent="0.25">
      <c r="T394"/>
      <c r="U394"/>
      <c r="Y394" s="1"/>
    </row>
    <row r="395" spans="20:25" x14ac:dyDescent="0.25">
      <c r="T395"/>
      <c r="U395"/>
      <c r="Y395" s="1"/>
    </row>
    <row r="396" spans="20:25" x14ac:dyDescent="0.25">
      <c r="T396"/>
      <c r="U396"/>
      <c r="Y396" s="1"/>
    </row>
    <row r="397" spans="20:25" x14ac:dyDescent="0.25">
      <c r="T397"/>
      <c r="U397"/>
      <c r="Y397" s="1"/>
    </row>
    <row r="398" spans="20:25" x14ac:dyDescent="0.25">
      <c r="T398"/>
      <c r="U398"/>
      <c r="Y398" s="1"/>
    </row>
    <row r="399" spans="20:25" x14ac:dyDescent="0.25">
      <c r="T399"/>
      <c r="U399"/>
      <c r="Y399" s="1"/>
    </row>
    <row r="400" spans="20:25" x14ac:dyDescent="0.25">
      <c r="T400"/>
      <c r="U400"/>
      <c r="Y400" s="1"/>
    </row>
    <row r="401" spans="20:25" x14ac:dyDescent="0.25">
      <c r="T401"/>
      <c r="U401"/>
      <c r="Y401" s="1"/>
    </row>
    <row r="402" spans="20:25" x14ac:dyDescent="0.25">
      <c r="T402"/>
      <c r="U402"/>
      <c r="Y402" s="1"/>
    </row>
    <row r="403" spans="20:25" x14ac:dyDescent="0.25">
      <c r="T403"/>
      <c r="U403"/>
      <c r="Y403" s="1"/>
    </row>
    <row r="404" spans="20:25" x14ac:dyDescent="0.25">
      <c r="T404"/>
      <c r="U404"/>
      <c r="Y404" s="1"/>
    </row>
    <row r="405" spans="20:25" x14ac:dyDescent="0.25">
      <c r="T405"/>
      <c r="U405"/>
      <c r="Y405" s="1"/>
    </row>
    <row r="406" spans="20:25" x14ac:dyDescent="0.25">
      <c r="T406"/>
      <c r="U406"/>
      <c r="Y406" s="1"/>
    </row>
    <row r="407" spans="20:25" x14ac:dyDescent="0.25">
      <c r="T407"/>
      <c r="U407"/>
      <c r="Y407" s="1"/>
    </row>
    <row r="408" spans="20:25" x14ac:dyDescent="0.25">
      <c r="T408"/>
      <c r="U408"/>
      <c r="Y408" s="1"/>
    </row>
    <row r="409" spans="20:25" x14ac:dyDescent="0.25">
      <c r="T409"/>
      <c r="U409"/>
      <c r="Y409" s="1"/>
    </row>
    <row r="410" spans="20:25" x14ac:dyDescent="0.25">
      <c r="T410"/>
      <c r="U410"/>
      <c r="Y410" s="1"/>
    </row>
    <row r="411" spans="20:25" x14ac:dyDescent="0.25">
      <c r="T411"/>
      <c r="U411"/>
      <c r="Y411" s="1"/>
    </row>
    <row r="412" spans="20:25" x14ac:dyDescent="0.25">
      <c r="T412"/>
      <c r="U412"/>
      <c r="Y412" s="1"/>
    </row>
    <row r="413" spans="20:25" x14ac:dyDescent="0.25">
      <c r="T413"/>
      <c r="U413"/>
      <c r="Y413" s="1"/>
    </row>
    <row r="414" spans="20:25" x14ac:dyDescent="0.25">
      <c r="T414"/>
      <c r="U414"/>
      <c r="Y414" s="1"/>
    </row>
    <row r="415" spans="20:25" x14ac:dyDescent="0.25">
      <c r="T415"/>
      <c r="U415"/>
      <c r="Y415" s="1"/>
    </row>
    <row r="416" spans="20:25" x14ac:dyDescent="0.25">
      <c r="T416"/>
      <c r="U416"/>
      <c r="Y416" s="1"/>
    </row>
    <row r="417" spans="20:25" x14ac:dyDescent="0.25">
      <c r="T417"/>
      <c r="U417"/>
      <c r="Y417" s="1"/>
    </row>
    <row r="418" spans="20:25" x14ac:dyDescent="0.25">
      <c r="T418"/>
      <c r="U418"/>
      <c r="Y418" s="1"/>
    </row>
    <row r="419" spans="20:25" x14ac:dyDescent="0.25">
      <c r="T419"/>
      <c r="U419"/>
      <c r="Y419" s="1"/>
    </row>
    <row r="420" spans="20:25" x14ac:dyDescent="0.25">
      <c r="T420"/>
      <c r="U420"/>
      <c r="Y420" s="1"/>
    </row>
    <row r="421" spans="20:25" x14ac:dyDescent="0.25">
      <c r="T421"/>
      <c r="U421"/>
      <c r="Y421" s="1"/>
    </row>
    <row r="422" spans="20:25" x14ac:dyDescent="0.25">
      <c r="T422"/>
      <c r="U422"/>
      <c r="Y422" s="1"/>
    </row>
    <row r="423" spans="20:25" x14ac:dyDescent="0.25">
      <c r="T423"/>
      <c r="U423"/>
      <c r="Y423" s="1"/>
    </row>
    <row r="424" spans="20:25" x14ac:dyDescent="0.25">
      <c r="T424"/>
      <c r="U424"/>
      <c r="Y424" s="1"/>
    </row>
    <row r="425" spans="20:25" x14ac:dyDescent="0.25">
      <c r="T425"/>
      <c r="U425"/>
      <c r="Y425" s="1"/>
    </row>
    <row r="426" spans="20:25" x14ac:dyDescent="0.25">
      <c r="T426"/>
      <c r="U426"/>
      <c r="Y426" s="1"/>
    </row>
    <row r="427" spans="20:25" x14ac:dyDescent="0.25">
      <c r="T427"/>
      <c r="U427"/>
      <c r="Y427" s="1"/>
    </row>
    <row r="428" spans="20:25" x14ac:dyDescent="0.25">
      <c r="T428"/>
      <c r="U428"/>
      <c r="Y428" s="1"/>
    </row>
    <row r="429" spans="20:25" x14ac:dyDescent="0.25">
      <c r="T429"/>
      <c r="U429"/>
      <c r="Y429" s="1"/>
    </row>
    <row r="430" spans="20:25" x14ac:dyDescent="0.25">
      <c r="T430"/>
      <c r="U430"/>
      <c r="Y430" s="1"/>
    </row>
    <row r="431" spans="20:25" x14ac:dyDescent="0.25">
      <c r="T431"/>
      <c r="U431"/>
      <c r="Y431" s="1"/>
    </row>
    <row r="432" spans="20:25" x14ac:dyDescent="0.25">
      <c r="T432"/>
      <c r="U432"/>
      <c r="Y432" s="1"/>
    </row>
    <row r="433" spans="20:25" x14ac:dyDescent="0.25">
      <c r="T433"/>
      <c r="U433"/>
      <c r="Y433" s="1"/>
    </row>
    <row r="434" spans="20:25" x14ac:dyDescent="0.25">
      <c r="T434"/>
      <c r="U434"/>
      <c r="Y434" s="1"/>
    </row>
    <row r="435" spans="20:25" x14ac:dyDescent="0.25">
      <c r="T435"/>
      <c r="U435"/>
      <c r="Y435" s="1"/>
    </row>
    <row r="436" spans="20:25" x14ac:dyDescent="0.25">
      <c r="T436"/>
      <c r="Y436" s="1"/>
    </row>
    <row r="437" spans="20:25" x14ac:dyDescent="0.25">
      <c r="T437"/>
      <c r="Y437" s="1"/>
    </row>
    <row r="438" spans="20:25" x14ac:dyDescent="0.25">
      <c r="T438"/>
      <c r="Y438" s="1"/>
    </row>
    <row r="439" spans="20:25" x14ac:dyDescent="0.25">
      <c r="T439"/>
      <c r="Y439" s="1"/>
    </row>
    <row r="440" spans="20:25" x14ac:dyDescent="0.25">
      <c r="T440"/>
      <c r="Y440" s="1"/>
    </row>
    <row r="441" spans="20:25" x14ac:dyDescent="0.25">
      <c r="T441"/>
      <c r="Y441" s="1"/>
    </row>
    <row r="442" spans="20:25" x14ac:dyDescent="0.25">
      <c r="T442"/>
      <c r="Y442" s="1"/>
    </row>
    <row r="443" spans="20:25" x14ac:dyDescent="0.25">
      <c r="T443"/>
      <c r="Y443" s="1"/>
    </row>
    <row r="444" spans="20:25" x14ac:dyDescent="0.25">
      <c r="T444"/>
      <c r="Y444" s="1"/>
    </row>
    <row r="445" spans="20:25" x14ac:dyDescent="0.25">
      <c r="T445"/>
      <c r="Y445" s="1"/>
    </row>
    <row r="446" spans="20:25" x14ac:dyDescent="0.25">
      <c r="T446"/>
      <c r="Y446" s="1"/>
    </row>
    <row r="447" spans="20:25" x14ac:dyDescent="0.25">
      <c r="T447"/>
      <c r="Y447" s="1"/>
    </row>
    <row r="448" spans="20:25" x14ac:dyDescent="0.25">
      <c r="T448"/>
      <c r="Y448" s="1"/>
    </row>
    <row r="449" spans="20:25" x14ac:dyDescent="0.25">
      <c r="T449"/>
      <c r="Y449" s="1"/>
    </row>
    <row r="450" spans="20:25" x14ac:dyDescent="0.25">
      <c r="T450"/>
      <c r="Y450" s="1"/>
    </row>
    <row r="451" spans="20:25" x14ac:dyDescent="0.25">
      <c r="T451"/>
      <c r="Y451" s="1"/>
    </row>
    <row r="452" spans="20:25" x14ac:dyDescent="0.25">
      <c r="T452"/>
      <c r="Y452" s="1"/>
    </row>
    <row r="453" spans="20:25" x14ac:dyDescent="0.25">
      <c r="T453"/>
      <c r="Y453" s="1"/>
    </row>
    <row r="454" spans="20:25" x14ac:dyDescent="0.25">
      <c r="T454"/>
      <c r="Y454" s="1"/>
    </row>
    <row r="455" spans="20:25" x14ac:dyDescent="0.25">
      <c r="T455"/>
      <c r="Y455" s="1"/>
    </row>
    <row r="456" spans="20:25" x14ac:dyDescent="0.25">
      <c r="T456"/>
      <c r="Y456" s="1"/>
    </row>
    <row r="457" spans="20:25" x14ac:dyDescent="0.25">
      <c r="Y457" s="1"/>
    </row>
  </sheetData>
  <sortState xmlns:xlrd2="http://schemas.microsoft.com/office/spreadsheetml/2017/richdata2" ref="U15:U435">
    <sortCondition ref="U15:U435"/>
  </sortState>
  <conditionalFormatting sqref="C14 E14:F14 H14:N14">
    <cfRule type="cellIs" dxfId="37" priority="18" operator="equal">
      <formula>2021</formula>
    </cfRule>
  </conditionalFormatting>
  <conditionalFormatting sqref="G15:G201">
    <cfRule type="cellIs" dxfId="36" priority="11" operator="equal">
      <formula>2026</formula>
    </cfRule>
  </conditionalFormatting>
  <conditionalFormatting sqref="J14">
    <cfRule type="cellIs" dxfId="35" priority="16" operator="between">
      <formula>0.5</formula>
      <formula>10</formula>
    </cfRule>
  </conditionalFormatting>
  <conditionalFormatting sqref="K14:L14">
    <cfRule type="cellIs" dxfId="34" priority="15" operator="between">
      <formula>0.5</formula>
      <formula>10</formula>
    </cfRule>
  </conditionalFormatting>
  <conditionalFormatting sqref="Q15:Q20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R20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5:S20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5:T20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5:V20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5:Y201">
    <cfRule type="cellIs" dxfId="33" priority="1" operator="equal">
      <formula>0</formula>
    </cfRule>
  </conditionalFormatting>
  <conditionalFormatting sqref="W15:W20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:X20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5:Y20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28B5-D727-4EB5-973D-5FC4FCB5E631}">
  <dimension ref="A10:CC203"/>
  <sheetViews>
    <sheetView topLeftCell="A107" workbookViewId="0">
      <selection activeCell="U109" sqref="U109"/>
    </sheetView>
  </sheetViews>
  <sheetFormatPr defaultColWidth="9" defaultRowHeight="10.8" x14ac:dyDescent="0.25"/>
  <cols>
    <col min="1" max="1" width="5.42578125" style="12" customWidth="1"/>
    <col min="2" max="2" width="27.42578125" style="11" customWidth="1"/>
    <col min="3" max="12" width="6.42578125" style="12" customWidth="1"/>
    <col min="13" max="13" width="6.42578125" style="14" customWidth="1"/>
    <col min="14" max="15" width="6.42578125" style="12" customWidth="1"/>
    <col min="16" max="20" width="6.42578125" style="22" customWidth="1"/>
    <col min="21" max="21" width="9" style="11"/>
    <col min="22" max="22" width="21" style="11" bestFit="1" customWidth="1"/>
    <col min="23" max="23" width="8.140625" style="12" bestFit="1" customWidth="1"/>
    <col min="24" max="27" width="4.42578125" style="12" bestFit="1" customWidth="1"/>
    <col min="28" max="28" width="11.5703125" style="11" bestFit="1" customWidth="1"/>
    <col min="29" max="29" width="21" style="11" bestFit="1" customWidth="1"/>
    <col min="30" max="30" width="6" style="12" bestFit="1" customWidth="1"/>
    <col min="31" max="34" width="3.28515625" style="12" bestFit="1" customWidth="1"/>
    <col min="35" max="35" width="4.42578125" style="12" bestFit="1" customWidth="1"/>
    <col min="36" max="38" width="3.28515625" style="12" bestFit="1" customWidth="1"/>
    <col min="39" max="39" width="4.42578125" style="12" bestFit="1" customWidth="1"/>
    <col min="40" max="41" width="3.28515625" style="12" bestFit="1" customWidth="1"/>
    <col min="42" max="42" width="4.42578125" style="12" bestFit="1" customWidth="1"/>
    <col min="43" max="43" width="3.28515625" style="12" bestFit="1" customWidth="1"/>
    <col min="44" max="44" width="4.42578125" style="12" bestFit="1" customWidth="1"/>
    <col min="45" max="46" width="3.28515625" style="12" bestFit="1" customWidth="1"/>
    <col min="47" max="47" width="10.140625" style="11" bestFit="1" customWidth="1"/>
    <col min="48" max="48" width="9" style="11"/>
    <col min="49" max="49" width="21" style="11" bestFit="1" customWidth="1"/>
    <col min="50" max="50" width="3.7109375" style="11" customWidth="1"/>
    <col min="51" max="54" width="3.28515625" style="11" bestFit="1" customWidth="1"/>
    <col min="55" max="55" width="4.42578125" style="11" bestFit="1" customWidth="1"/>
    <col min="56" max="66" width="3.28515625" style="11" bestFit="1" customWidth="1"/>
    <col min="67" max="67" width="3" style="11" bestFit="1" customWidth="1"/>
    <col min="68" max="73" width="3.28515625" style="11" bestFit="1" customWidth="1"/>
    <col min="74" max="79" width="3" style="11" bestFit="1" customWidth="1"/>
    <col min="80" max="80" width="5.140625" style="11" bestFit="1" customWidth="1"/>
    <col min="81" max="81" width="10.140625" style="11" bestFit="1" customWidth="1"/>
    <col min="82" max="16384" width="9" style="11"/>
  </cols>
  <sheetData>
    <row r="10" spans="1:81" x14ac:dyDescent="0.25">
      <c r="V10" s="27" t="s">
        <v>226</v>
      </c>
      <c r="W10" s="28" t="s">
        <v>227</v>
      </c>
      <c r="X10" s="1"/>
      <c r="Y10" s="1"/>
      <c r="Z10" s="1"/>
      <c r="AA10" s="1"/>
      <c r="AB10"/>
      <c r="AC10" s="27" t="s">
        <v>411</v>
      </c>
      <c r="AD10" s="28" t="s">
        <v>210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W10" s="27" t="s">
        <v>410</v>
      </c>
      <c r="AX10" s="27" t="s">
        <v>210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 ht="42.6" x14ac:dyDescent="0.25">
      <c r="B11" s="11" t="s">
        <v>5</v>
      </c>
      <c r="C11" s="16" t="s">
        <v>6</v>
      </c>
      <c r="D11" s="16" t="s">
        <v>8</v>
      </c>
      <c r="E11" s="16" t="s">
        <v>9</v>
      </c>
      <c r="F11" s="16" t="s">
        <v>10</v>
      </c>
      <c r="G11" s="16" t="s">
        <v>13</v>
      </c>
      <c r="H11" s="16" t="s">
        <v>228</v>
      </c>
      <c r="I11" s="16" t="s">
        <v>15</v>
      </c>
      <c r="J11" s="16" t="s">
        <v>215</v>
      </c>
      <c r="K11" s="16" t="s">
        <v>216</v>
      </c>
      <c r="L11" s="16" t="s">
        <v>217</v>
      </c>
      <c r="M11" s="17" t="s">
        <v>218</v>
      </c>
      <c r="N11" s="18" t="s">
        <v>219</v>
      </c>
      <c r="O11" s="19" t="s">
        <v>229</v>
      </c>
      <c r="P11" s="20" t="s">
        <v>12</v>
      </c>
      <c r="Q11" s="19" t="s">
        <v>222</v>
      </c>
      <c r="R11" s="19" t="s">
        <v>223</v>
      </c>
      <c r="S11" s="19" t="s">
        <v>224</v>
      </c>
      <c r="T11" s="19" t="s">
        <v>225</v>
      </c>
      <c r="V11" s="27" t="s">
        <v>386</v>
      </c>
      <c r="W11" s="1">
        <v>1</v>
      </c>
      <c r="X11" s="1">
        <v>2</v>
      </c>
      <c r="Y11" s="1">
        <v>3</v>
      </c>
      <c r="Z11" s="1">
        <v>4</v>
      </c>
      <c r="AA11" s="128" t="s">
        <v>385</v>
      </c>
      <c r="AB11"/>
      <c r="AC11" s="27" t="s">
        <v>386</v>
      </c>
      <c r="AD11" s="128">
        <v>2010</v>
      </c>
      <c r="AE11" s="128">
        <v>2011</v>
      </c>
      <c r="AF11" s="128">
        <v>2012</v>
      </c>
      <c r="AG11" s="128">
        <v>2013</v>
      </c>
      <c r="AH11" s="128">
        <v>2014</v>
      </c>
      <c r="AI11" s="128">
        <v>2015</v>
      </c>
      <c r="AJ11" s="128">
        <v>2016</v>
      </c>
      <c r="AK11" s="128">
        <v>2017</v>
      </c>
      <c r="AL11" s="128">
        <v>2018</v>
      </c>
      <c r="AM11" s="128">
        <v>2019</v>
      </c>
      <c r="AN11" s="128">
        <v>2020</v>
      </c>
      <c r="AO11" s="128">
        <v>2021</v>
      </c>
      <c r="AP11" s="128">
        <v>2022</v>
      </c>
      <c r="AQ11" s="128">
        <v>2023</v>
      </c>
      <c r="AR11" s="128">
        <v>2024</v>
      </c>
      <c r="AS11" s="128">
        <v>2025</v>
      </c>
      <c r="AT11" s="128">
        <v>2026</v>
      </c>
      <c r="AU11" t="s">
        <v>385</v>
      </c>
      <c r="AW11" s="27" t="s">
        <v>386</v>
      </c>
      <c r="AX11">
        <v>13</v>
      </c>
      <c r="AY11">
        <v>14</v>
      </c>
      <c r="AZ11">
        <v>15</v>
      </c>
      <c r="BA11">
        <v>16</v>
      </c>
      <c r="BB11">
        <v>17</v>
      </c>
      <c r="BC11">
        <v>18</v>
      </c>
      <c r="BD11">
        <v>19</v>
      </c>
      <c r="BE11">
        <v>20</v>
      </c>
      <c r="BF11">
        <v>21</v>
      </c>
      <c r="BG11">
        <v>22</v>
      </c>
      <c r="BH11">
        <v>23</v>
      </c>
      <c r="BI11">
        <v>24</v>
      </c>
      <c r="BJ11">
        <v>25</v>
      </c>
      <c r="BK11">
        <v>26</v>
      </c>
      <c r="BL11">
        <v>27</v>
      </c>
      <c r="BM11">
        <v>28</v>
      </c>
      <c r="BN11">
        <v>29</v>
      </c>
      <c r="BO11">
        <v>30</v>
      </c>
      <c r="BP11">
        <v>31</v>
      </c>
      <c r="BQ11">
        <v>32</v>
      </c>
      <c r="BR11">
        <v>33</v>
      </c>
      <c r="BS11">
        <v>34</v>
      </c>
      <c r="BT11">
        <v>35</v>
      </c>
      <c r="BU11">
        <v>37</v>
      </c>
      <c r="BV11">
        <v>40</v>
      </c>
      <c r="BW11">
        <v>41</v>
      </c>
      <c r="BX11">
        <v>42</v>
      </c>
      <c r="BY11">
        <v>43</v>
      </c>
      <c r="BZ11">
        <v>44</v>
      </c>
      <c r="CA11">
        <v>45</v>
      </c>
      <c r="CB11" t="s">
        <v>384</v>
      </c>
      <c r="CC11" t="s">
        <v>385</v>
      </c>
    </row>
    <row r="12" spans="1:81" x14ac:dyDescent="0.25">
      <c r="A12" s="13">
        <f>Tabell46[[#This Row],[RANK MÅL]]</f>
        <v>1</v>
      </c>
      <c r="B12" s="11" t="s">
        <v>133</v>
      </c>
      <c r="C12" s="12">
        <f>SUMIF('ALLA ÅR'!B:B,Tabell46[[#This Row],[Namn]],'ALLA ÅR'!C:C)</f>
        <v>83</v>
      </c>
      <c r="D12" s="12">
        <f>SUMIF('ALLA ÅR'!B:B,Tabell46[[#This Row],[Namn]],'ALLA ÅR'!E:E)</f>
        <v>0</v>
      </c>
      <c r="E12" s="12">
        <f>SUMIF('ALLA ÅR'!B:B,Tabell46[[#This Row],[Namn]],'ALLA ÅR'!F:F)</f>
        <v>0</v>
      </c>
      <c r="F12" s="12">
        <f>SUMIF('ALLA ÅR'!B:B,Tabell46[[#This Row],[Namn]],'ALLA ÅR'!G:G)</f>
        <v>119</v>
      </c>
      <c r="G12" s="12">
        <f>VLOOKUP(Tabell46[[#This Row],[Namn]],'ALLA ÅR'!B:J,9,0)</f>
        <v>2016</v>
      </c>
      <c r="H12" s="12">
        <f>COUNTIF('ALLA ÅR'!B:B,Tabell46[[#This Row],[Namn]])</f>
        <v>5</v>
      </c>
      <c r="I12" s="12">
        <f>VLOOKUP(Tabell46[[#This Row],[Namn]],'ALLA ÅR'!B:L,11,0)</f>
        <v>20</v>
      </c>
      <c r="J12" s="12">
        <f>RANK(Tabell46[[#This Row],[MÅL]],F:F)</f>
        <v>1</v>
      </c>
      <c r="K12" s="12">
        <f>RANK(Tabell46[[#This Row],[VAR]],D:D)</f>
        <v>44</v>
      </c>
      <c r="L12" s="12">
        <f>RANK(Tabell46[[#This Row],[MAT]],C:C)</f>
        <v>9</v>
      </c>
      <c r="M12" s="14">
        <f>Tabell46[[#This Row],[MAT]]/Tabell46[[#This Row],[ANTAL MATCHER]]</f>
        <v>0.95402298850574707</v>
      </c>
      <c r="N12" s="12">
        <f>SUMIF('ALLA ÅR'!B:B,Tabell46[[#This Row],[Namn]],'ALLA ÅR'!H:H)</f>
        <v>87</v>
      </c>
      <c r="O12" s="12">
        <f>RANK(Tabell46[[#This Row],[ÅLDER]],I:I)</f>
        <v>50</v>
      </c>
      <c r="P12" s="21">
        <f>Tabell46[[#This Row],[MÅL]]/Tabell46[[#This Row],[MAT]]</f>
        <v>1.4337349397590362</v>
      </c>
      <c r="Q12" s="12">
        <f>_xlfn.XLOOKUP(Tabell46[[#This Row],[Namn]],V:V,W:W)</f>
        <v>0</v>
      </c>
      <c r="R12" s="12">
        <f>_xlfn.XLOOKUP(Tabell46[[#This Row],[Namn]],V:V,X:X)</f>
        <v>0</v>
      </c>
      <c r="S12" s="12">
        <f>_xlfn.XLOOKUP(Tabell46[[#This Row],[Namn]],V:V,Y:Y)</f>
        <v>0</v>
      </c>
      <c r="T12" s="12">
        <f>_xlfn.XLOOKUP(Tabell46[[#This Row],[Namn]],V:V,Z:Z)</f>
        <v>119</v>
      </c>
      <c r="V12" s="3" t="s">
        <v>133</v>
      </c>
      <c r="W12" s="152"/>
      <c r="X12" s="152"/>
      <c r="Y12" s="152"/>
      <c r="Z12" s="152">
        <v>119</v>
      </c>
      <c r="AA12" s="152">
        <v>119</v>
      </c>
      <c r="AB12"/>
      <c r="AC12" s="3" t="s">
        <v>133</v>
      </c>
      <c r="AD12" s="152"/>
      <c r="AE12" s="152"/>
      <c r="AF12" s="152">
        <v>4</v>
      </c>
      <c r="AG12" s="152">
        <v>15</v>
      </c>
      <c r="AH12" s="152">
        <v>32</v>
      </c>
      <c r="AI12" s="152">
        <v>48</v>
      </c>
      <c r="AJ12" s="152">
        <v>20</v>
      </c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1">
        <v>119</v>
      </c>
      <c r="AW12" s="3" t="s">
        <v>133</v>
      </c>
      <c r="AX12" s="151"/>
      <c r="AY12" s="151"/>
      <c r="AZ12" s="151"/>
      <c r="BA12" s="151">
        <v>4</v>
      </c>
      <c r="BB12" s="151">
        <v>15</v>
      </c>
      <c r="BC12" s="151">
        <v>32</v>
      </c>
      <c r="BD12" s="151">
        <v>48</v>
      </c>
      <c r="BE12" s="151">
        <v>20</v>
      </c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>
        <v>119</v>
      </c>
    </row>
    <row r="13" spans="1:81" x14ac:dyDescent="0.25">
      <c r="A13" s="15">
        <f>Tabell46[[#This Row],[RANK MÅL]]</f>
        <v>2</v>
      </c>
      <c r="B13" s="11" t="s">
        <v>34</v>
      </c>
      <c r="C13" s="12">
        <f>SUMIF('ALLA ÅR'!B:B,Tabell46[[#This Row],[Namn]],'ALLA ÅR'!C:C)</f>
        <v>138</v>
      </c>
      <c r="D13" s="12">
        <f>SUMIF('ALLA ÅR'!B:B,Tabell46[[#This Row],[Namn]],'ALLA ÅR'!E:E)</f>
        <v>4</v>
      </c>
      <c r="E13" s="12">
        <f>SUMIF('ALLA ÅR'!B:B,Tabell46[[#This Row],[Namn]],'ALLA ÅR'!F:F)</f>
        <v>0</v>
      </c>
      <c r="F13" s="12">
        <f>SUMIF('ALLA ÅR'!B:B,Tabell46[[#This Row],[Namn]],'ALLA ÅR'!G:G)</f>
        <v>103</v>
      </c>
      <c r="G13" s="12">
        <f>VLOOKUP(Tabell46[[#This Row],[Namn]],'ALLA ÅR'!B:J,9,0)</f>
        <v>2026</v>
      </c>
      <c r="H13" s="12">
        <f>COUNTIF('ALLA ÅR'!B:B,Tabell46[[#This Row],[Namn]])</f>
        <v>9</v>
      </c>
      <c r="I13" s="12">
        <f>VLOOKUP(Tabell46[[#This Row],[Namn]],'ALLA ÅR'!B:L,11,0)</f>
        <v>35</v>
      </c>
      <c r="J13" s="12">
        <f>RANK(Tabell46[[#This Row],[MÅL]],F:F)</f>
        <v>2</v>
      </c>
      <c r="K13" s="12">
        <f>RANK(Tabell46[[#This Row],[VAR]],D:D)</f>
        <v>5</v>
      </c>
      <c r="L13" s="12">
        <f>RANK(Tabell46[[#This Row],[MAT]],C:C)</f>
        <v>3</v>
      </c>
      <c r="M13" s="14">
        <f>Tabell46[[#This Row],[MAT]]/Tabell46[[#This Row],[ANTAL MATCHER]]</f>
        <v>0.90196078431372551</v>
      </c>
      <c r="N13" s="12">
        <f>SUMIF('ALLA ÅR'!B:B,Tabell46[[#This Row],[Namn]],'ALLA ÅR'!H:H)</f>
        <v>153</v>
      </c>
      <c r="O13" s="12">
        <f>RANK(Tabell46[[#This Row],[ÅLDER]],I:I)</f>
        <v>2</v>
      </c>
      <c r="P13" s="21">
        <f>Tabell46[[#This Row],[MÅL]]/Tabell46[[#This Row],[MAT]]</f>
        <v>0.74637681159420288</v>
      </c>
      <c r="Q13" s="12">
        <f>_xlfn.XLOOKUP(Tabell46[[#This Row],[Namn]],V:V,W:W)</f>
        <v>2</v>
      </c>
      <c r="R13" s="12">
        <f>_xlfn.XLOOKUP(Tabell46[[#This Row],[Namn]],V:V,X:X)</f>
        <v>94</v>
      </c>
      <c r="S13" s="12">
        <f>_xlfn.XLOOKUP(Tabell46[[#This Row],[Namn]],V:V,Y:Y)</f>
        <v>0</v>
      </c>
      <c r="T13" s="12">
        <f>_xlfn.XLOOKUP(Tabell46[[#This Row],[Namn]],V:V,Z:Z)</f>
        <v>7</v>
      </c>
      <c r="V13" s="3" t="s">
        <v>34</v>
      </c>
      <c r="W13" s="152">
        <v>2</v>
      </c>
      <c r="X13" s="152">
        <v>94</v>
      </c>
      <c r="Y13" s="152"/>
      <c r="Z13" s="152">
        <v>7</v>
      </c>
      <c r="AA13" s="152">
        <v>103</v>
      </c>
      <c r="AB13"/>
      <c r="AC13" s="3" t="s">
        <v>34</v>
      </c>
      <c r="AD13" s="152"/>
      <c r="AE13" s="152"/>
      <c r="AF13" s="152"/>
      <c r="AG13" s="152"/>
      <c r="AH13" s="152"/>
      <c r="AI13" s="152"/>
      <c r="AJ13" s="152"/>
      <c r="AK13" s="152"/>
      <c r="AL13" s="152">
        <v>10</v>
      </c>
      <c r="AM13" s="152">
        <v>19</v>
      </c>
      <c r="AN13" s="152">
        <v>2</v>
      </c>
      <c r="AO13" s="152">
        <v>4</v>
      </c>
      <c r="AP13" s="152">
        <v>25</v>
      </c>
      <c r="AQ13" s="152">
        <v>11</v>
      </c>
      <c r="AR13" s="152">
        <v>24</v>
      </c>
      <c r="AS13" s="152">
        <v>1</v>
      </c>
      <c r="AT13" s="152">
        <v>7</v>
      </c>
      <c r="AU13" s="151">
        <v>103</v>
      </c>
      <c r="AW13" s="3" t="s">
        <v>34</v>
      </c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>
        <v>10</v>
      </c>
      <c r="BM13" s="151">
        <v>19</v>
      </c>
      <c r="BN13" s="151">
        <v>2</v>
      </c>
      <c r="BO13" s="151">
        <v>4</v>
      </c>
      <c r="BP13" s="151">
        <v>25</v>
      </c>
      <c r="BQ13" s="151">
        <v>11</v>
      </c>
      <c r="BR13" s="151">
        <v>24</v>
      </c>
      <c r="BS13" s="151">
        <v>1</v>
      </c>
      <c r="BT13" s="151">
        <v>7</v>
      </c>
      <c r="BU13" s="151"/>
      <c r="BV13" s="151"/>
      <c r="BW13" s="151"/>
      <c r="BX13" s="151"/>
      <c r="BY13" s="151"/>
      <c r="BZ13" s="151"/>
      <c r="CA13" s="151"/>
      <c r="CB13" s="151"/>
      <c r="CC13" s="151">
        <v>103</v>
      </c>
    </row>
    <row r="14" spans="1:81" x14ac:dyDescent="0.25">
      <c r="A14" s="13">
        <f>Tabell46[[#This Row],[RANK MÅL]]</f>
        <v>3</v>
      </c>
      <c r="B14" s="11" t="s">
        <v>83</v>
      </c>
      <c r="C14" s="12">
        <f>SUMIF('ALLA ÅR'!B:B,Tabell46[[#This Row],[Namn]],'ALLA ÅR'!C:C)</f>
        <v>56</v>
      </c>
      <c r="D14" s="12">
        <f>SUMIF('ALLA ÅR'!B:B,Tabell46[[#This Row],[Namn]],'ALLA ÅR'!E:E)</f>
        <v>1</v>
      </c>
      <c r="E14" s="12">
        <f>SUMIF('ALLA ÅR'!B:B,Tabell46[[#This Row],[Namn]],'ALLA ÅR'!F:F)</f>
        <v>0</v>
      </c>
      <c r="F14" s="12">
        <f>SUMIF('ALLA ÅR'!B:B,Tabell46[[#This Row],[Namn]],'ALLA ÅR'!G:G)</f>
        <v>82</v>
      </c>
      <c r="G14" s="12">
        <f>VLOOKUP(Tabell46[[#This Row],[Namn]],'ALLA ÅR'!B:J,9,0)</f>
        <v>2022</v>
      </c>
      <c r="H14" s="12">
        <f>COUNTIF('ALLA ÅR'!B:B,Tabell46[[#This Row],[Namn]])</f>
        <v>3</v>
      </c>
      <c r="I14" s="12">
        <f>VLOOKUP(Tabell46[[#This Row],[Namn]],'ALLA ÅR'!B:L,11,0)</f>
        <v>37</v>
      </c>
      <c r="J14" s="12">
        <f>RANK(Tabell46[[#This Row],[MÅL]],F:F)</f>
        <v>3</v>
      </c>
      <c r="K14" s="12">
        <f>RANK(Tabell46[[#This Row],[VAR]],D:D)</f>
        <v>25</v>
      </c>
      <c r="L14" s="12">
        <f>RANK(Tabell46[[#This Row],[MAT]],C:C)</f>
        <v>16</v>
      </c>
      <c r="M14" s="14">
        <f>Tabell46[[#This Row],[MAT]]/Tabell46[[#This Row],[ANTAL MATCHER]]</f>
        <v>0.86153846153846159</v>
      </c>
      <c r="N14" s="12">
        <f>SUMIF('ALLA ÅR'!B:B,Tabell46[[#This Row],[Namn]],'ALLA ÅR'!H:H)</f>
        <v>65</v>
      </c>
      <c r="O14" s="12">
        <f>RANK(Tabell46[[#This Row],[ÅLDER]],I:I)</f>
        <v>1</v>
      </c>
      <c r="P14" s="21">
        <f>Tabell46[[#This Row],[MÅL]]/Tabell46[[#This Row],[MAT]]</f>
        <v>1.4642857142857142</v>
      </c>
      <c r="Q14" s="12">
        <f>_xlfn.XLOOKUP(Tabell46[[#This Row],[Namn]],V:V,W:W)</f>
        <v>6</v>
      </c>
      <c r="R14" s="12">
        <f>_xlfn.XLOOKUP(Tabell46[[#This Row],[Namn]],V:V,X:X)</f>
        <v>76</v>
      </c>
      <c r="S14" s="12">
        <f>_xlfn.XLOOKUP(Tabell46[[#This Row],[Namn]],V:V,Y:Y)</f>
        <v>0</v>
      </c>
      <c r="T14" s="12">
        <f>_xlfn.XLOOKUP(Tabell46[[#This Row],[Namn]],V:V,Z:Z)</f>
        <v>0</v>
      </c>
      <c r="V14" s="3" t="s">
        <v>83</v>
      </c>
      <c r="W14" s="152">
        <v>6</v>
      </c>
      <c r="X14" s="152">
        <v>76</v>
      </c>
      <c r="Y14" s="152"/>
      <c r="Z14" s="152"/>
      <c r="AA14" s="152">
        <v>82</v>
      </c>
      <c r="AB14"/>
      <c r="AC14" s="3" t="s">
        <v>83</v>
      </c>
      <c r="AD14" s="152"/>
      <c r="AE14" s="152"/>
      <c r="AF14" s="152"/>
      <c r="AG14" s="152"/>
      <c r="AH14" s="152"/>
      <c r="AI14" s="152"/>
      <c r="AJ14" s="152"/>
      <c r="AK14" s="152"/>
      <c r="AL14" s="152"/>
      <c r="AM14" s="152">
        <v>42</v>
      </c>
      <c r="AN14" s="152">
        <v>6</v>
      </c>
      <c r="AO14" s="152"/>
      <c r="AP14" s="152">
        <v>34</v>
      </c>
      <c r="AQ14" s="152"/>
      <c r="AR14" s="152"/>
      <c r="AS14" s="152"/>
      <c r="AT14" s="152"/>
      <c r="AU14" s="151">
        <v>82</v>
      </c>
      <c r="AW14" s="3" t="s">
        <v>83</v>
      </c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>
        <v>42</v>
      </c>
      <c r="BT14" s="151">
        <v>6</v>
      </c>
      <c r="BU14" s="151">
        <v>34</v>
      </c>
      <c r="BV14" s="151"/>
      <c r="BW14" s="151"/>
      <c r="BX14" s="151"/>
      <c r="BY14" s="151"/>
      <c r="BZ14" s="151"/>
      <c r="CA14" s="151"/>
      <c r="CB14" s="151"/>
      <c r="CC14" s="151">
        <v>82</v>
      </c>
    </row>
    <row r="15" spans="1:81" x14ac:dyDescent="0.25">
      <c r="A15" s="15">
        <f>Tabell46[[#This Row],[RANK MÅL]]</f>
        <v>4</v>
      </c>
      <c r="B15" s="11" t="s">
        <v>105</v>
      </c>
      <c r="C15" s="12">
        <f>SUMIF('ALLA ÅR'!B:B,Tabell46[[#This Row],[Namn]],'ALLA ÅR'!C:C)</f>
        <v>48</v>
      </c>
      <c r="D15" s="12">
        <f>SUMIF('ALLA ÅR'!B:B,Tabell46[[#This Row],[Namn]],'ALLA ÅR'!E:E)</f>
        <v>7</v>
      </c>
      <c r="E15" s="12">
        <f>SUMIF('ALLA ÅR'!B:B,Tabell46[[#This Row],[Namn]],'ALLA ÅR'!F:F)</f>
        <v>0</v>
      </c>
      <c r="F15" s="12">
        <f>SUMIF('ALLA ÅR'!B:B,Tabell46[[#This Row],[Namn]],'ALLA ÅR'!G:G)</f>
        <v>53</v>
      </c>
      <c r="G15" s="12">
        <f>VLOOKUP(Tabell46[[#This Row],[Namn]],'ALLA ÅR'!B:J,9,0)</f>
        <v>2019</v>
      </c>
      <c r="H15" s="12">
        <f>COUNTIF('ALLA ÅR'!B:B,Tabell46[[#This Row],[Namn]])</f>
        <v>3</v>
      </c>
      <c r="I15" s="12">
        <f>VLOOKUP(Tabell46[[#This Row],[Namn]],'ALLA ÅR'!B:L,11,0)</f>
        <v>34</v>
      </c>
      <c r="J15" s="12">
        <f>RANK(Tabell46[[#This Row],[MÅL]],F:F)</f>
        <v>4</v>
      </c>
      <c r="K15" s="12">
        <f>RANK(Tabell46[[#This Row],[VAR]],D:D)</f>
        <v>3</v>
      </c>
      <c r="L15" s="12">
        <f>RANK(Tabell46[[#This Row],[MAT]],C:C)</f>
        <v>19</v>
      </c>
      <c r="M15" s="14">
        <f>Tabell46[[#This Row],[MAT]]/Tabell46[[#This Row],[ANTAL MATCHER]]</f>
        <v>0.8</v>
      </c>
      <c r="N15" s="12">
        <f>SUMIF('ALLA ÅR'!B:B,Tabell46[[#This Row],[Namn]],'ALLA ÅR'!H:H)</f>
        <v>60</v>
      </c>
      <c r="O15" s="12">
        <f>RANK(Tabell46[[#This Row],[ÅLDER]],I:I)</f>
        <v>4</v>
      </c>
      <c r="P15" s="21">
        <f>Tabell46[[#This Row],[MÅL]]/Tabell46[[#This Row],[MAT]]</f>
        <v>1.1041666666666667</v>
      </c>
      <c r="Q15" s="12">
        <f>_xlfn.XLOOKUP(Tabell46[[#This Row],[Namn]],V:V,W:W)</f>
        <v>0</v>
      </c>
      <c r="R15" s="12">
        <f>_xlfn.XLOOKUP(Tabell46[[#This Row],[Namn]],V:V,X:X)</f>
        <v>43</v>
      </c>
      <c r="S15" s="12">
        <f>_xlfn.XLOOKUP(Tabell46[[#This Row],[Namn]],V:V,Y:Y)</f>
        <v>10</v>
      </c>
      <c r="T15" s="12">
        <f>_xlfn.XLOOKUP(Tabell46[[#This Row],[Namn]],V:V,Z:Z)</f>
        <v>0</v>
      </c>
      <c r="V15" s="3" t="s">
        <v>105</v>
      </c>
      <c r="W15" s="152"/>
      <c r="X15" s="152">
        <v>43</v>
      </c>
      <c r="Y15" s="152">
        <v>10</v>
      </c>
      <c r="Z15" s="152"/>
      <c r="AA15" s="152">
        <v>53</v>
      </c>
      <c r="AB15"/>
      <c r="AC15" s="3" t="s">
        <v>105</v>
      </c>
      <c r="AD15" s="152"/>
      <c r="AE15" s="152"/>
      <c r="AF15" s="152"/>
      <c r="AG15" s="152"/>
      <c r="AH15" s="152"/>
      <c r="AI15" s="152"/>
      <c r="AJ15" s="152"/>
      <c r="AK15" s="152">
        <v>10</v>
      </c>
      <c r="AL15" s="152">
        <v>30</v>
      </c>
      <c r="AM15" s="152">
        <v>13</v>
      </c>
      <c r="AN15" s="152"/>
      <c r="AO15" s="152"/>
      <c r="AP15" s="152"/>
      <c r="AQ15" s="152"/>
      <c r="AR15" s="152"/>
      <c r="AS15" s="152"/>
      <c r="AT15" s="152"/>
      <c r="AU15" s="151">
        <v>53</v>
      </c>
      <c r="AW15" s="3" t="s">
        <v>105</v>
      </c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>
        <v>10</v>
      </c>
      <c r="BR15" s="151">
        <v>30</v>
      </c>
      <c r="BS15" s="151">
        <v>13</v>
      </c>
      <c r="BT15" s="151"/>
      <c r="BU15" s="151"/>
      <c r="BV15" s="151"/>
      <c r="BW15" s="151"/>
      <c r="BX15" s="151"/>
      <c r="BY15" s="151"/>
      <c r="BZ15" s="151"/>
      <c r="CA15" s="151"/>
      <c r="CB15" s="151"/>
      <c r="CC15" s="151">
        <v>53</v>
      </c>
    </row>
    <row r="16" spans="1:81" x14ac:dyDescent="0.25">
      <c r="A16" s="13">
        <f>Tabell46[[#This Row],[RANK MÅL]]</f>
        <v>5</v>
      </c>
      <c r="B16" s="11" t="s">
        <v>70</v>
      </c>
      <c r="C16" s="12">
        <f>SUMIF('ALLA ÅR'!B:B,Tabell46[[#This Row],[Namn]],'ALLA ÅR'!C:C)</f>
        <v>70</v>
      </c>
      <c r="D16" s="12">
        <f>SUMIF('ALLA ÅR'!B:B,Tabell46[[#This Row],[Namn]],'ALLA ÅR'!E:E)</f>
        <v>2</v>
      </c>
      <c r="E16" s="12">
        <f>SUMIF('ALLA ÅR'!B:B,Tabell46[[#This Row],[Namn]],'ALLA ÅR'!F:F)</f>
        <v>0</v>
      </c>
      <c r="F16" s="12">
        <f>SUMIF('ALLA ÅR'!B:B,Tabell46[[#This Row],[Namn]],'ALLA ÅR'!G:G)</f>
        <v>38</v>
      </c>
      <c r="G16" s="12">
        <f>VLOOKUP(Tabell46[[#This Row],[Namn]],'ALLA ÅR'!B:J,9,0)</f>
        <v>2023</v>
      </c>
      <c r="H16" s="12">
        <f>COUNTIF('ALLA ÅR'!B:B,Tabell46[[#This Row],[Namn]])</f>
        <v>4</v>
      </c>
      <c r="I16" s="12">
        <f>VLOOKUP(Tabell46[[#This Row],[Namn]],'ALLA ÅR'!B:L,11,0)</f>
        <v>26</v>
      </c>
      <c r="J16" s="12">
        <f>RANK(Tabell46[[#This Row],[MÅL]],F:F)</f>
        <v>5</v>
      </c>
      <c r="K16" s="12">
        <f>RANK(Tabell46[[#This Row],[VAR]],D:D)</f>
        <v>18</v>
      </c>
      <c r="L16" s="12">
        <f>RANK(Tabell46[[#This Row],[MAT]],C:C)</f>
        <v>11</v>
      </c>
      <c r="M16" s="14">
        <f>Tabell46[[#This Row],[MAT]]/Tabell46[[#This Row],[ANTAL MATCHER]]</f>
        <v>0.97222222222222221</v>
      </c>
      <c r="N16" s="12">
        <f>SUMIF('ALLA ÅR'!B:B,Tabell46[[#This Row],[Namn]],'ALLA ÅR'!H:H)</f>
        <v>72</v>
      </c>
      <c r="O16" s="12">
        <f>RANK(Tabell46[[#This Row],[ÅLDER]],I:I)</f>
        <v>19</v>
      </c>
      <c r="P16" s="21">
        <f>Tabell46[[#This Row],[MÅL]]/Tabell46[[#This Row],[MAT]]</f>
        <v>0.54285714285714282</v>
      </c>
      <c r="Q16" s="12">
        <f>_xlfn.XLOOKUP(Tabell46[[#This Row],[Namn]],V:V,W:W)</f>
        <v>0</v>
      </c>
      <c r="R16" s="12">
        <f>_xlfn.XLOOKUP(Tabell46[[#This Row],[Namn]],V:V,X:X)</f>
        <v>38</v>
      </c>
      <c r="S16" s="12">
        <f>_xlfn.XLOOKUP(Tabell46[[#This Row],[Namn]],V:V,Y:Y)</f>
        <v>0</v>
      </c>
      <c r="T16" s="12">
        <f>_xlfn.XLOOKUP(Tabell46[[#This Row],[Namn]],V:V,Z:Z)</f>
        <v>0</v>
      </c>
      <c r="V16" s="3" t="s">
        <v>70</v>
      </c>
      <c r="W16" s="152">
        <v>0</v>
      </c>
      <c r="X16" s="152">
        <v>38</v>
      </c>
      <c r="Y16" s="152"/>
      <c r="Z16" s="152"/>
      <c r="AA16" s="152">
        <v>38</v>
      </c>
      <c r="AB16"/>
      <c r="AC16" s="3" t="s">
        <v>70</v>
      </c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>
        <v>0</v>
      </c>
      <c r="AO16" s="152">
        <v>6</v>
      </c>
      <c r="AP16" s="152">
        <v>22</v>
      </c>
      <c r="AQ16" s="152">
        <v>10</v>
      </c>
      <c r="AR16" s="152"/>
      <c r="AS16" s="152"/>
      <c r="AT16" s="152"/>
      <c r="AU16" s="151">
        <v>38</v>
      </c>
      <c r="AW16" s="3" t="s">
        <v>70</v>
      </c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>
        <v>0</v>
      </c>
      <c r="BI16" s="151">
        <v>6</v>
      </c>
      <c r="BJ16" s="151">
        <v>22</v>
      </c>
      <c r="BK16" s="151">
        <v>10</v>
      </c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>
        <v>38</v>
      </c>
    </row>
    <row r="17" spans="1:81" x14ac:dyDescent="0.25">
      <c r="A17" s="15">
        <f>Tabell46[[#This Row],[RANK MÅL]]</f>
        <v>6</v>
      </c>
      <c r="B17" s="11" t="s">
        <v>56</v>
      </c>
      <c r="C17" s="12">
        <f>SUMIF('ALLA ÅR'!B:B,Tabell46[[#This Row],[Namn]],'ALLA ÅR'!C:C)</f>
        <v>151</v>
      </c>
      <c r="D17" s="12">
        <f>SUMIF('ALLA ÅR'!B:B,Tabell46[[#This Row],[Namn]],'ALLA ÅR'!E:E)</f>
        <v>9</v>
      </c>
      <c r="E17" s="12">
        <f>SUMIF('ALLA ÅR'!B:B,Tabell46[[#This Row],[Namn]],'ALLA ÅR'!F:F)</f>
        <v>0</v>
      </c>
      <c r="F17" s="12">
        <f>SUMIF('ALLA ÅR'!B:B,Tabell46[[#This Row],[Namn]],'ALLA ÅR'!G:G)</f>
        <v>29</v>
      </c>
      <c r="G17" s="12">
        <f>VLOOKUP(Tabell46[[#This Row],[Namn]],'ALLA ÅR'!B:J,9,0)</f>
        <v>2024</v>
      </c>
      <c r="H17" s="12">
        <f>COUNTIF('ALLA ÅR'!B:B,Tabell46[[#This Row],[Namn]])</f>
        <v>8</v>
      </c>
      <c r="I17" s="12">
        <f>VLOOKUP(Tabell46[[#This Row],[Namn]],'ALLA ÅR'!B:L,11,0)</f>
        <v>22</v>
      </c>
      <c r="J17" s="12">
        <f>RANK(Tabell46[[#This Row],[MÅL]],F:F)</f>
        <v>6</v>
      </c>
      <c r="K17" s="12">
        <f>RANK(Tabell46[[#This Row],[VAR]],D:D)</f>
        <v>2</v>
      </c>
      <c r="L17" s="12">
        <f>RANK(Tabell46[[#This Row],[MAT]],C:C)</f>
        <v>2</v>
      </c>
      <c r="M17" s="14">
        <f>Tabell46[[#This Row],[MAT]]/Tabell46[[#This Row],[ANTAL MATCHER]]</f>
        <v>0.93788819875776397</v>
      </c>
      <c r="N17" s="12">
        <f>SUMIF('ALLA ÅR'!B:B,Tabell46[[#This Row],[Namn]],'ALLA ÅR'!H:H)</f>
        <v>161</v>
      </c>
      <c r="O17" s="12">
        <f>RANK(Tabell46[[#This Row],[ÅLDER]],I:I)</f>
        <v>36</v>
      </c>
      <c r="P17" s="21">
        <f>Tabell46[[#This Row],[MÅL]]/Tabell46[[#This Row],[MAT]]</f>
        <v>0.19205298013245034</v>
      </c>
      <c r="Q17" s="12">
        <f>_xlfn.XLOOKUP(Tabell46[[#This Row],[Namn]],V:V,W:W)</f>
        <v>1</v>
      </c>
      <c r="R17" s="12">
        <f>_xlfn.XLOOKUP(Tabell46[[#This Row],[Namn]],V:V,X:X)</f>
        <v>28</v>
      </c>
      <c r="S17" s="12">
        <f>_xlfn.XLOOKUP(Tabell46[[#This Row],[Namn]],V:V,Y:Y)</f>
        <v>0</v>
      </c>
      <c r="T17" s="12">
        <f>_xlfn.XLOOKUP(Tabell46[[#This Row],[Namn]],V:V,Z:Z)</f>
        <v>0</v>
      </c>
      <c r="V17" s="3" t="s">
        <v>56</v>
      </c>
      <c r="W17" s="152">
        <v>1</v>
      </c>
      <c r="X17" s="152">
        <v>28</v>
      </c>
      <c r="Y17" s="152">
        <v>0</v>
      </c>
      <c r="Z17" s="152"/>
      <c r="AA17" s="152">
        <v>29</v>
      </c>
      <c r="AB17"/>
      <c r="AC17" s="3" t="s">
        <v>56</v>
      </c>
      <c r="AD17" s="152"/>
      <c r="AE17" s="152"/>
      <c r="AF17" s="152"/>
      <c r="AG17" s="152"/>
      <c r="AH17" s="152"/>
      <c r="AI17" s="152"/>
      <c r="AJ17" s="152"/>
      <c r="AK17" s="152">
        <v>0</v>
      </c>
      <c r="AL17" s="152">
        <v>5</v>
      </c>
      <c r="AM17" s="152">
        <v>7</v>
      </c>
      <c r="AN17" s="152">
        <v>1</v>
      </c>
      <c r="AO17" s="152">
        <v>3</v>
      </c>
      <c r="AP17" s="152">
        <v>5</v>
      </c>
      <c r="AQ17" s="152">
        <v>2</v>
      </c>
      <c r="AR17" s="152">
        <v>6</v>
      </c>
      <c r="AS17" s="152"/>
      <c r="AT17" s="152"/>
      <c r="AU17" s="151">
        <v>29</v>
      </c>
      <c r="AW17" s="3" t="s">
        <v>56</v>
      </c>
      <c r="AX17" s="151"/>
      <c r="AY17" s="151"/>
      <c r="AZ17" s="151">
        <v>0</v>
      </c>
      <c r="BA17" s="151">
        <v>5</v>
      </c>
      <c r="BB17" s="151">
        <v>7</v>
      </c>
      <c r="BC17" s="151">
        <v>1</v>
      </c>
      <c r="BD17" s="151">
        <v>3</v>
      </c>
      <c r="BE17" s="151">
        <v>5</v>
      </c>
      <c r="BF17" s="151">
        <v>2</v>
      </c>
      <c r="BG17" s="151">
        <v>6</v>
      </c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>
        <v>29</v>
      </c>
    </row>
    <row r="18" spans="1:81" x14ac:dyDescent="0.25">
      <c r="A18" s="13">
        <f>Tabell46[[#This Row],[RANK MÅL]]</f>
        <v>7</v>
      </c>
      <c r="B18" s="11" t="s">
        <v>112</v>
      </c>
      <c r="C18" s="12">
        <f>SUMIF('ALLA ÅR'!B:B,Tabell46[[#This Row],[Namn]],'ALLA ÅR'!C:C)</f>
        <v>31</v>
      </c>
      <c r="D18" s="12">
        <f>SUMIF('ALLA ÅR'!B:B,Tabell46[[#This Row],[Namn]],'ALLA ÅR'!E:E)</f>
        <v>4</v>
      </c>
      <c r="E18" s="12">
        <f>SUMIF('ALLA ÅR'!B:B,Tabell46[[#This Row],[Namn]],'ALLA ÅR'!F:F)</f>
        <v>0</v>
      </c>
      <c r="F18" s="12">
        <f>SUMIF('ALLA ÅR'!B:B,Tabell46[[#This Row],[Namn]],'ALLA ÅR'!G:G)</f>
        <v>28</v>
      </c>
      <c r="G18" s="12">
        <f>VLOOKUP(Tabell46[[#This Row],[Namn]],'ALLA ÅR'!B:J,9,0)</f>
        <v>2018</v>
      </c>
      <c r="H18" s="12">
        <f>COUNTIF('ALLA ÅR'!B:B,Tabell46[[#This Row],[Namn]])</f>
        <v>2</v>
      </c>
      <c r="I18" s="12">
        <f>VLOOKUP(Tabell46[[#This Row],[Namn]],'ALLA ÅR'!B:L,11,0)</f>
        <v>26</v>
      </c>
      <c r="J18" s="12">
        <f>RANK(Tabell46[[#This Row],[MÅL]],F:F)</f>
        <v>7</v>
      </c>
      <c r="K18" s="12">
        <f>RANK(Tabell46[[#This Row],[VAR]],D:D)</f>
        <v>5</v>
      </c>
      <c r="L18" s="12">
        <f>RANK(Tabell46[[#This Row],[MAT]],C:C)</f>
        <v>39</v>
      </c>
      <c r="M18" s="14">
        <f>Tabell46[[#This Row],[MAT]]/Tabell46[[#This Row],[ANTAL MATCHER]]</f>
        <v>0.91176470588235292</v>
      </c>
      <c r="N18" s="12">
        <f>SUMIF('ALLA ÅR'!B:B,Tabell46[[#This Row],[Namn]],'ALLA ÅR'!H:H)</f>
        <v>34</v>
      </c>
      <c r="O18" s="12">
        <f>RANK(Tabell46[[#This Row],[ÅLDER]],I:I)</f>
        <v>19</v>
      </c>
      <c r="P18" s="21">
        <f>Tabell46[[#This Row],[MÅL]]/Tabell46[[#This Row],[MAT]]</f>
        <v>0.90322580645161288</v>
      </c>
      <c r="Q18" s="12">
        <f>_xlfn.XLOOKUP(Tabell46[[#This Row],[Namn]],V:V,W:W)</f>
        <v>0</v>
      </c>
      <c r="R18" s="12">
        <f>_xlfn.XLOOKUP(Tabell46[[#This Row],[Namn]],V:V,X:X)</f>
        <v>8</v>
      </c>
      <c r="S18" s="12">
        <f>_xlfn.XLOOKUP(Tabell46[[#This Row],[Namn]],V:V,Y:Y)</f>
        <v>20</v>
      </c>
      <c r="T18" s="12">
        <f>_xlfn.XLOOKUP(Tabell46[[#This Row],[Namn]],V:V,Z:Z)</f>
        <v>0</v>
      </c>
      <c r="V18" s="3" t="s">
        <v>112</v>
      </c>
      <c r="W18" s="152"/>
      <c r="X18" s="152">
        <v>8</v>
      </c>
      <c r="Y18" s="152">
        <v>20</v>
      </c>
      <c r="Z18" s="152"/>
      <c r="AA18" s="152">
        <v>28</v>
      </c>
      <c r="AB18"/>
      <c r="AC18" s="3" t="s">
        <v>112</v>
      </c>
      <c r="AD18" s="152"/>
      <c r="AE18" s="152"/>
      <c r="AF18" s="152"/>
      <c r="AG18" s="152"/>
      <c r="AH18" s="152"/>
      <c r="AI18" s="152"/>
      <c r="AJ18" s="152"/>
      <c r="AK18" s="152">
        <v>20</v>
      </c>
      <c r="AL18" s="152">
        <v>8</v>
      </c>
      <c r="AM18" s="152"/>
      <c r="AN18" s="152"/>
      <c r="AO18" s="152"/>
      <c r="AP18" s="152"/>
      <c r="AQ18" s="152"/>
      <c r="AR18" s="152"/>
      <c r="AS18" s="152"/>
      <c r="AT18" s="152"/>
      <c r="AU18" s="151">
        <v>28</v>
      </c>
      <c r="AW18" s="3" t="s">
        <v>112</v>
      </c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>
        <v>20</v>
      </c>
      <c r="BK18" s="151">
        <v>8</v>
      </c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>
        <v>28</v>
      </c>
    </row>
    <row r="19" spans="1:81" x14ac:dyDescent="0.25">
      <c r="A19" s="15">
        <f>Tabell46[[#This Row],[RANK MÅL]]</f>
        <v>7</v>
      </c>
      <c r="B19" s="11" t="s">
        <v>148</v>
      </c>
      <c r="C19" s="12">
        <f>SUMIF('ALLA ÅR'!B:B,Tabell46[[#This Row],[Namn]],'ALLA ÅR'!C:C)</f>
        <v>22</v>
      </c>
      <c r="D19" s="12">
        <f>SUMIF('ALLA ÅR'!B:B,Tabell46[[#This Row],[Namn]],'ALLA ÅR'!E:E)</f>
        <v>1</v>
      </c>
      <c r="E19" s="12">
        <f>SUMIF('ALLA ÅR'!B:B,Tabell46[[#This Row],[Namn]],'ALLA ÅR'!F:F)</f>
        <v>0</v>
      </c>
      <c r="F19" s="12">
        <f>SUMIF('ALLA ÅR'!B:B,Tabell46[[#This Row],[Namn]],'ALLA ÅR'!G:G)</f>
        <v>28</v>
      </c>
      <c r="G19" s="12">
        <f>VLOOKUP(Tabell46[[#This Row],[Namn]],'ALLA ÅR'!B:J,9,0)</f>
        <v>2015</v>
      </c>
      <c r="H19" s="12">
        <f>COUNTIF('ALLA ÅR'!B:B,Tabell46[[#This Row],[Namn]])</f>
        <v>1</v>
      </c>
      <c r="I19" s="12">
        <f>VLOOKUP(Tabell46[[#This Row],[Namn]],'ALLA ÅR'!B:L,11,0)</f>
        <v>15</v>
      </c>
      <c r="J19" s="12">
        <f>RANK(Tabell46[[#This Row],[MÅL]],F:F)</f>
        <v>7</v>
      </c>
      <c r="K19" s="12">
        <f>RANK(Tabell46[[#This Row],[VAR]],D:D)</f>
        <v>25</v>
      </c>
      <c r="L19" s="12">
        <f>RANK(Tabell46[[#This Row],[MAT]],C:C)</f>
        <v>54</v>
      </c>
      <c r="M19" s="14">
        <f>Tabell46[[#This Row],[MAT]]/Tabell46[[#This Row],[ANTAL MATCHER]]</f>
        <v>0.95652173913043481</v>
      </c>
      <c r="N19" s="12">
        <f>SUMIF('ALLA ÅR'!B:B,Tabell46[[#This Row],[Namn]],'ALLA ÅR'!H:H)</f>
        <v>23</v>
      </c>
      <c r="O19" s="12">
        <f>RANK(Tabell46[[#This Row],[ÅLDER]],I:I)</f>
        <v>97</v>
      </c>
      <c r="P19" s="21">
        <f>Tabell46[[#This Row],[MÅL]]/Tabell46[[#This Row],[MAT]]</f>
        <v>1.2727272727272727</v>
      </c>
      <c r="Q19" s="12">
        <f>_xlfn.XLOOKUP(Tabell46[[#This Row],[Namn]],V:V,W:W)</f>
        <v>0</v>
      </c>
      <c r="R19" s="12">
        <f>_xlfn.XLOOKUP(Tabell46[[#This Row],[Namn]],V:V,X:X)</f>
        <v>0</v>
      </c>
      <c r="S19" s="12">
        <f>_xlfn.XLOOKUP(Tabell46[[#This Row],[Namn]],V:V,Y:Y)</f>
        <v>0</v>
      </c>
      <c r="T19" s="12">
        <f>_xlfn.XLOOKUP(Tabell46[[#This Row],[Namn]],V:V,Z:Z)</f>
        <v>28</v>
      </c>
      <c r="V19" s="3" t="s">
        <v>148</v>
      </c>
      <c r="W19" s="152"/>
      <c r="X19" s="152"/>
      <c r="Y19" s="152"/>
      <c r="Z19" s="152">
        <v>28</v>
      </c>
      <c r="AA19" s="152">
        <v>28</v>
      </c>
      <c r="AB19"/>
      <c r="AC19" s="3" t="s">
        <v>148</v>
      </c>
      <c r="AD19" s="152"/>
      <c r="AE19" s="152"/>
      <c r="AF19" s="152"/>
      <c r="AG19" s="152"/>
      <c r="AH19" s="152"/>
      <c r="AI19" s="152">
        <v>28</v>
      </c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1">
        <v>28</v>
      </c>
      <c r="AW19" s="3" t="s">
        <v>148</v>
      </c>
      <c r="AX19" s="151"/>
      <c r="AY19" s="151"/>
      <c r="AZ19" s="151">
        <v>28</v>
      </c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>
        <v>28</v>
      </c>
    </row>
    <row r="20" spans="1:81" x14ac:dyDescent="0.25">
      <c r="A20" s="13">
        <f>Tabell46[[#This Row],[RANK MÅL]]</f>
        <v>9</v>
      </c>
      <c r="B20" s="11" t="s">
        <v>43</v>
      </c>
      <c r="C20" s="12">
        <f>SUMIF('ALLA ÅR'!B:B,Tabell46[[#This Row],[Namn]],'ALLA ÅR'!C:C)</f>
        <v>53</v>
      </c>
      <c r="D20" s="12">
        <f>SUMIF('ALLA ÅR'!B:B,Tabell46[[#This Row],[Namn]],'ALLA ÅR'!E:E)</f>
        <v>3</v>
      </c>
      <c r="E20" s="12">
        <f>SUMIF('ALLA ÅR'!B:B,Tabell46[[#This Row],[Namn]],'ALLA ÅR'!F:F)</f>
        <v>0</v>
      </c>
      <c r="F20" s="12">
        <f>SUMIF('ALLA ÅR'!B:B,Tabell46[[#This Row],[Namn]],'ALLA ÅR'!G:G)</f>
        <v>25</v>
      </c>
      <c r="G20" s="12">
        <f>VLOOKUP(Tabell46[[#This Row],[Namn]],'ALLA ÅR'!B:J,9,0)</f>
        <v>2026</v>
      </c>
      <c r="H20" s="12">
        <f>COUNTIF('ALLA ÅR'!B:B,Tabell46[[#This Row],[Namn]])</f>
        <v>5</v>
      </c>
      <c r="I20" s="12">
        <f>VLOOKUP(Tabell46[[#This Row],[Namn]],'ALLA ÅR'!B:L,11,0)</f>
        <v>24</v>
      </c>
      <c r="J20" s="12">
        <f>RANK(Tabell46[[#This Row],[MÅL]],F:F)</f>
        <v>9</v>
      </c>
      <c r="K20" s="12">
        <f>RANK(Tabell46[[#This Row],[VAR]],D:D)</f>
        <v>10</v>
      </c>
      <c r="L20" s="12">
        <f>RANK(Tabell46[[#This Row],[MAT]],C:C)</f>
        <v>17</v>
      </c>
      <c r="M20" s="14">
        <f>Tabell46[[#This Row],[MAT]]/Tabell46[[#This Row],[ANTAL MATCHER]]</f>
        <v>0.53</v>
      </c>
      <c r="N20" s="12">
        <f>SUMIF('ALLA ÅR'!B:B,Tabell46[[#This Row],[Namn]],'ALLA ÅR'!H:H)</f>
        <v>100</v>
      </c>
      <c r="O20" s="12">
        <f>RANK(Tabell46[[#This Row],[ÅLDER]],I:I)</f>
        <v>24</v>
      </c>
      <c r="P20" s="21">
        <f>Tabell46[[#This Row],[MÅL]]/Tabell46[[#This Row],[MAT]]</f>
        <v>0.47169811320754718</v>
      </c>
      <c r="Q20" s="12">
        <f>_xlfn.XLOOKUP(Tabell46[[#This Row],[Namn]],V:V,W:W)</f>
        <v>0</v>
      </c>
      <c r="R20" s="12">
        <f>_xlfn.XLOOKUP(Tabell46[[#This Row],[Namn]],V:V,X:X)</f>
        <v>10</v>
      </c>
      <c r="S20" s="12">
        <f>_xlfn.XLOOKUP(Tabell46[[#This Row],[Namn]],V:V,Y:Y)</f>
        <v>9</v>
      </c>
      <c r="T20" s="12">
        <f>_xlfn.XLOOKUP(Tabell46[[#This Row],[Namn]],V:V,Z:Z)</f>
        <v>6</v>
      </c>
      <c r="V20" s="3" t="s">
        <v>43</v>
      </c>
      <c r="W20" s="152"/>
      <c r="X20" s="152">
        <v>10</v>
      </c>
      <c r="Y20" s="152">
        <v>9</v>
      </c>
      <c r="Z20" s="152">
        <v>6</v>
      </c>
      <c r="AA20" s="152">
        <v>25</v>
      </c>
      <c r="AB20"/>
      <c r="AC20" s="3" t="s">
        <v>43</v>
      </c>
      <c r="AD20" s="152"/>
      <c r="AE20" s="152"/>
      <c r="AF20" s="152"/>
      <c r="AG20" s="152"/>
      <c r="AH20" s="152"/>
      <c r="AI20" s="152"/>
      <c r="AJ20" s="152"/>
      <c r="AK20" s="152">
        <v>9</v>
      </c>
      <c r="AL20" s="152"/>
      <c r="AM20" s="152"/>
      <c r="AN20" s="152"/>
      <c r="AO20" s="152"/>
      <c r="AP20" s="152">
        <v>1</v>
      </c>
      <c r="AQ20" s="152">
        <v>6</v>
      </c>
      <c r="AR20" s="152">
        <v>3</v>
      </c>
      <c r="AS20" s="152"/>
      <c r="AT20" s="152">
        <v>6</v>
      </c>
      <c r="AU20" s="151">
        <v>25</v>
      </c>
      <c r="AW20" s="3" t="s">
        <v>43</v>
      </c>
      <c r="AX20" s="151"/>
      <c r="AY20" s="151"/>
      <c r="AZ20" s="151">
        <v>9</v>
      </c>
      <c r="BA20" s="151"/>
      <c r="BB20" s="151"/>
      <c r="BC20" s="151"/>
      <c r="BD20" s="151"/>
      <c r="BE20" s="151">
        <v>1</v>
      </c>
      <c r="BF20" s="151">
        <v>6</v>
      </c>
      <c r="BG20" s="151">
        <v>3</v>
      </c>
      <c r="BH20" s="151"/>
      <c r="BI20" s="151">
        <v>6</v>
      </c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>
        <v>25</v>
      </c>
    </row>
    <row r="21" spans="1:81" x14ac:dyDescent="0.25">
      <c r="A21" s="15">
        <f>Tabell46[[#This Row],[RANK MÅL]]</f>
        <v>10</v>
      </c>
      <c r="B21" s="11" t="s">
        <v>36</v>
      </c>
      <c r="C21" s="12">
        <f>SUMIF('ALLA ÅR'!B:B,Tabell46[[#This Row],[Namn]],'ALLA ÅR'!C:C)</f>
        <v>63</v>
      </c>
      <c r="D21" s="12">
        <f>SUMIF('ALLA ÅR'!B:B,Tabell46[[#This Row],[Namn]],'ALLA ÅR'!E:E)</f>
        <v>3</v>
      </c>
      <c r="E21" s="12">
        <f>SUMIF('ALLA ÅR'!B:B,Tabell46[[#This Row],[Namn]],'ALLA ÅR'!F:F)</f>
        <v>0</v>
      </c>
      <c r="F21" s="12">
        <f>SUMIF('ALLA ÅR'!B:B,Tabell46[[#This Row],[Namn]],'ALLA ÅR'!G:G)</f>
        <v>24</v>
      </c>
      <c r="G21" s="12">
        <f>VLOOKUP(Tabell46[[#This Row],[Namn]],'ALLA ÅR'!B:J,9,0)</f>
        <v>2026</v>
      </c>
      <c r="H21" s="12">
        <f>COUNTIF('ALLA ÅR'!B:B,Tabell46[[#This Row],[Namn]])</f>
        <v>5</v>
      </c>
      <c r="I21" s="12">
        <f>VLOOKUP(Tabell46[[#This Row],[Namn]],'ALLA ÅR'!B:L,11,0)</f>
        <v>24</v>
      </c>
      <c r="J21" s="12">
        <f>RANK(Tabell46[[#This Row],[MÅL]],F:F)</f>
        <v>10</v>
      </c>
      <c r="K21" s="12">
        <f>RANK(Tabell46[[#This Row],[VAR]],D:D)</f>
        <v>10</v>
      </c>
      <c r="L21" s="12">
        <f>RANK(Tabell46[[#This Row],[MAT]],C:C)</f>
        <v>13</v>
      </c>
      <c r="M21" s="14">
        <f>Tabell46[[#This Row],[MAT]]/Tabell46[[#This Row],[ANTAL MATCHER]]</f>
        <v>0.63</v>
      </c>
      <c r="N21" s="12">
        <f>SUMIF('ALLA ÅR'!B:B,Tabell46[[#This Row],[Namn]],'ALLA ÅR'!H:H)</f>
        <v>100</v>
      </c>
      <c r="O21" s="12">
        <f>RANK(Tabell46[[#This Row],[ÅLDER]],I:I)</f>
        <v>24</v>
      </c>
      <c r="P21" s="21">
        <f>Tabell46[[#This Row],[MÅL]]/Tabell46[[#This Row],[MAT]]</f>
        <v>0.38095238095238093</v>
      </c>
      <c r="Q21" s="12">
        <f>_xlfn.XLOOKUP(Tabell46[[#This Row],[Namn]],V:V,W:W)</f>
        <v>0</v>
      </c>
      <c r="R21" s="12">
        <f>_xlfn.XLOOKUP(Tabell46[[#This Row],[Namn]],V:V,X:X)</f>
        <v>18</v>
      </c>
      <c r="S21" s="12">
        <f>_xlfn.XLOOKUP(Tabell46[[#This Row],[Namn]],V:V,Y:Y)</f>
        <v>0</v>
      </c>
      <c r="T21" s="12">
        <f>_xlfn.XLOOKUP(Tabell46[[#This Row],[Namn]],V:V,Z:Z)</f>
        <v>6</v>
      </c>
      <c r="V21" s="3" t="s">
        <v>36</v>
      </c>
      <c r="W21" s="152"/>
      <c r="X21" s="152">
        <v>18</v>
      </c>
      <c r="Y21" s="152"/>
      <c r="Z21" s="152">
        <v>6</v>
      </c>
      <c r="AA21" s="152">
        <v>24</v>
      </c>
      <c r="AB21"/>
      <c r="AC21" s="3" t="s">
        <v>36</v>
      </c>
      <c r="AD21" s="152"/>
      <c r="AE21" s="152"/>
      <c r="AF21" s="152"/>
      <c r="AG21" s="152"/>
      <c r="AH21" s="152"/>
      <c r="AI21" s="152"/>
      <c r="AJ21" s="152">
        <v>6</v>
      </c>
      <c r="AK21" s="152"/>
      <c r="AL21" s="152"/>
      <c r="AM21" s="152"/>
      <c r="AN21" s="152"/>
      <c r="AO21" s="152"/>
      <c r="AP21" s="152">
        <v>6</v>
      </c>
      <c r="AQ21" s="152">
        <v>8</v>
      </c>
      <c r="AR21" s="152">
        <v>4</v>
      </c>
      <c r="AS21" s="152"/>
      <c r="AT21" s="152">
        <v>0</v>
      </c>
      <c r="AU21" s="151">
        <v>24</v>
      </c>
      <c r="AW21" s="3" t="s">
        <v>36</v>
      </c>
      <c r="AX21" s="151"/>
      <c r="AY21" s="151">
        <v>6</v>
      </c>
      <c r="AZ21" s="151"/>
      <c r="BA21" s="151"/>
      <c r="BB21" s="151"/>
      <c r="BC21" s="151"/>
      <c r="BD21" s="151"/>
      <c r="BE21" s="151">
        <v>6</v>
      </c>
      <c r="BF21" s="151">
        <v>8</v>
      </c>
      <c r="BG21" s="151">
        <v>4</v>
      </c>
      <c r="BH21" s="151"/>
      <c r="BI21" s="151">
        <v>0</v>
      </c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>
        <v>24</v>
      </c>
    </row>
    <row r="22" spans="1:81" x14ac:dyDescent="0.25">
      <c r="A22" s="13">
        <f>Tabell46[[#This Row],[RANK MÅL]]</f>
        <v>11</v>
      </c>
      <c r="B22" s="11" t="s">
        <v>190</v>
      </c>
      <c r="C22" s="12">
        <f>SUMIF('ALLA ÅR'!B:B,Tabell46[[#This Row],[Namn]],'ALLA ÅR'!C:C)</f>
        <v>38</v>
      </c>
      <c r="D22" s="12">
        <f>SUMIF('ALLA ÅR'!B:B,Tabell46[[#This Row],[Namn]],'ALLA ÅR'!E:E)</f>
        <v>1</v>
      </c>
      <c r="E22" s="12">
        <f>SUMIF('ALLA ÅR'!B:B,Tabell46[[#This Row],[Namn]],'ALLA ÅR'!F:F)</f>
        <v>0</v>
      </c>
      <c r="F22" s="12">
        <f>SUMIF('ALLA ÅR'!B:B,Tabell46[[#This Row],[Namn]],'ALLA ÅR'!G:G)</f>
        <v>23</v>
      </c>
      <c r="G22" s="12">
        <f>VLOOKUP(Tabell46[[#This Row],[Namn]],'ALLA ÅR'!B:J,9,0)</f>
        <v>2011</v>
      </c>
      <c r="H22" s="12">
        <f>COUNTIF('ALLA ÅR'!B:B,Tabell46[[#This Row],[Namn]])</f>
        <v>2</v>
      </c>
      <c r="I22" s="12">
        <f>VLOOKUP(Tabell46[[#This Row],[Namn]],'ALLA ÅR'!B:L,11,0)</f>
        <v>19</v>
      </c>
      <c r="J22" s="12">
        <f>RANK(Tabell46[[#This Row],[MÅL]],F:F)</f>
        <v>11</v>
      </c>
      <c r="K22" s="12">
        <f>RANK(Tabell46[[#This Row],[VAR]],D:D)</f>
        <v>25</v>
      </c>
      <c r="L22" s="12">
        <f>RANK(Tabell46[[#This Row],[MAT]],C:C)</f>
        <v>32</v>
      </c>
      <c r="M22" s="14">
        <f>Tabell46[[#This Row],[MAT]]/Tabell46[[#This Row],[ANTAL MATCHER]]</f>
        <v>0.82608695652173914</v>
      </c>
      <c r="N22" s="12">
        <f>SUMIF('ALLA ÅR'!B:B,Tabell46[[#This Row],[Namn]],'ALLA ÅR'!H:H)</f>
        <v>46</v>
      </c>
      <c r="O22" s="12">
        <f>RANK(Tabell46[[#This Row],[ÅLDER]],I:I)</f>
        <v>63</v>
      </c>
      <c r="P22" s="21">
        <f>Tabell46[[#This Row],[MÅL]]/Tabell46[[#This Row],[MAT]]</f>
        <v>0.60526315789473684</v>
      </c>
      <c r="Q22" s="12">
        <f>_xlfn.XLOOKUP(Tabell46[[#This Row],[Namn]],V:V,W:W)</f>
        <v>0</v>
      </c>
      <c r="R22" s="12">
        <f>_xlfn.XLOOKUP(Tabell46[[#This Row],[Namn]],V:V,X:X)</f>
        <v>0</v>
      </c>
      <c r="S22" s="12">
        <f>_xlfn.XLOOKUP(Tabell46[[#This Row],[Namn]],V:V,Y:Y)</f>
        <v>23</v>
      </c>
      <c r="T22" s="12">
        <f>_xlfn.XLOOKUP(Tabell46[[#This Row],[Namn]],V:V,Z:Z)</f>
        <v>0</v>
      </c>
      <c r="V22" s="3" t="s">
        <v>190</v>
      </c>
      <c r="W22" s="152"/>
      <c r="X22" s="152"/>
      <c r="Y22" s="152">
        <v>23</v>
      </c>
      <c r="Z22" s="152"/>
      <c r="AA22" s="152">
        <v>23</v>
      </c>
      <c r="AB22"/>
      <c r="AC22" s="3" t="s">
        <v>190</v>
      </c>
      <c r="AD22" s="152">
        <v>14</v>
      </c>
      <c r="AE22" s="152">
        <v>9</v>
      </c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1">
        <v>23</v>
      </c>
      <c r="AW22" s="3" t="s">
        <v>190</v>
      </c>
      <c r="AX22" s="151"/>
      <c r="AY22" s="151"/>
      <c r="AZ22" s="151"/>
      <c r="BA22" s="151"/>
      <c r="BB22" s="151"/>
      <c r="BC22" s="151">
        <v>14</v>
      </c>
      <c r="BD22" s="151">
        <v>9</v>
      </c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>
        <v>23</v>
      </c>
    </row>
    <row r="23" spans="1:81" x14ac:dyDescent="0.25">
      <c r="A23" s="15">
        <f>Tabell46[[#This Row],[RANK MÅL]]</f>
        <v>12</v>
      </c>
      <c r="B23" s="11" t="s">
        <v>48</v>
      </c>
      <c r="C23" s="12">
        <f>SUMIF('ALLA ÅR'!B:B,Tabell46[[#This Row],[Namn]],'ALLA ÅR'!C:C)</f>
        <v>24</v>
      </c>
      <c r="D23" s="12">
        <f>SUMIF('ALLA ÅR'!B:B,Tabell46[[#This Row],[Namn]],'ALLA ÅR'!E:E)</f>
        <v>0</v>
      </c>
      <c r="E23" s="12">
        <f>SUMIF('ALLA ÅR'!B:B,Tabell46[[#This Row],[Namn]],'ALLA ÅR'!F:F)</f>
        <v>0</v>
      </c>
      <c r="F23" s="12">
        <f>SUMIF('ALLA ÅR'!B:B,Tabell46[[#This Row],[Namn]],'ALLA ÅR'!G:G)</f>
        <v>17</v>
      </c>
      <c r="G23" s="12">
        <f>VLOOKUP(Tabell46[[#This Row],[Namn]],'ALLA ÅR'!B:J,9,0)</f>
        <v>2025</v>
      </c>
      <c r="H23" s="12">
        <f>COUNTIF('ALLA ÅR'!B:B,Tabell46[[#This Row],[Namn]])</f>
        <v>2</v>
      </c>
      <c r="I23" s="12">
        <f>VLOOKUP(Tabell46[[#This Row],[Namn]],'ALLA ÅR'!B:L,11,0)</f>
        <v>26</v>
      </c>
      <c r="J23" s="12">
        <f>RANK(Tabell46[[#This Row],[MÅL]],F:F)</f>
        <v>12</v>
      </c>
      <c r="K23" s="12">
        <f>RANK(Tabell46[[#This Row],[VAR]],D:D)</f>
        <v>44</v>
      </c>
      <c r="L23" s="12">
        <f>RANK(Tabell46[[#This Row],[MAT]],C:C)</f>
        <v>48</v>
      </c>
      <c r="M23" s="14">
        <f>Tabell46[[#This Row],[MAT]]/Tabell46[[#This Row],[ANTAL MATCHER]]</f>
        <v>0.72727272727272729</v>
      </c>
      <c r="N23" s="12">
        <f>SUMIF('ALLA ÅR'!B:B,Tabell46[[#This Row],[Namn]],'ALLA ÅR'!H:H)</f>
        <v>33</v>
      </c>
      <c r="O23" s="12">
        <f>RANK(Tabell46[[#This Row],[ÅLDER]],I:I)</f>
        <v>19</v>
      </c>
      <c r="P23" s="21">
        <f>Tabell46[[#This Row],[MÅL]]/Tabell46[[#This Row],[MAT]]</f>
        <v>0.70833333333333337</v>
      </c>
      <c r="Q23" s="12">
        <f>_xlfn.XLOOKUP(Tabell46[[#This Row],[Namn]],V:V,W:W)</f>
        <v>0</v>
      </c>
      <c r="R23" s="12">
        <f>_xlfn.XLOOKUP(Tabell46[[#This Row],[Namn]],V:V,X:X)</f>
        <v>17</v>
      </c>
      <c r="S23" s="12">
        <f>_xlfn.XLOOKUP(Tabell46[[#This Row],[Namn]],V:V,Y:Y)</f>
        <v>0</v>
      </c>
      <c r="T23" s="12">
        <f>_xlfn.XLOOKUP(Tabell46[[#This Row],[Namn]],V:V,Z:Z)</f>
        <v>0</v>
      </c>
      <c r="V23" s="3" t="s">
        <v>48</v>
      </c>
      <c r="W23" s="152"/>
      <c r="X23" s="152">
        <v>17</v>
      </c>
      <c r="Y23" s="152"/>
      <c r="Z23" s="152"/>
      <c r="AA23" s="152">
        <v>17</v>
      </c>
      <c r="AB23"/>
      <c r="AC23" s="3" t="s">
        <v>48</v>
      </c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>
        <v>16</v>
      </c>
      <c r="AS23" s="152">
        <v>1</v>
      </c>
      <c r="AT23" s="152"/>
      <c r="AU23" s="151">
        <v>17</v>
      </c>
      <c r="AW23" s="3" t="s">
        <v>48</v>
      </c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>
        <v>16</v>
      </c>
      <c r="BK23" s="151">
        <v>1</v>
      </c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>
        <v>17</v>
      </c>
    </row>
    <row r="24" spans="1:81" x14ac:dyDescent="0.25">
      <c r="A24" s="13">
        <f>Tabell46[[#This Row],[RANK MÅL]]</f>
        <v>13</v>
      </c>
      <c r="B24" s="11" t="s">
        <v>29</v>
      </c>
      <c r="C24" s="12">
        <f>SUMIF('ALLA ÅR'!B:B,Tabell46[[#This Row],[Namn]],'ALLA ÅR'!C:C)</f>
        <v>43</v>
      </c>
      <c r="D24" s="12">
        <f>SUMIF('ALLA ÅR'!B:B,Tabell46[[#This Row],[Namn]],'ALLA ÅR'!E:E)</f>
        <v>1</v>
      </c>
      <c r="E24" s="12">
        <f>SUMIF('ALLA ÅR'!B:B,Tabell46[[#This Row],[Namn]],'ALLA ÅR'!F:F)</f>
        <v>0</v>
      </c>
      <c r="F24" s="12">
        <f>SUMIF('ALLA ÅR'!B:B,Tabell46[[#This Row],[Namn]],'ALLA ÅR'!G:G)</f>
        <v>14</v>
      </c>
      <c r="G24" s="12">
        <f>VLOOKUP(Tabell46[[#This Row],[Namn]],'ALLA ÅR'!B:J,9,0)</f>
        <v>2026</v>
      </c>
      <c r="H24" s="12">
        <f>COUNTIF('ALLA ÅR'!B:B,Tabell46[[#This Row],[Namn]])</f>
        <v>5</v>
      </c>
      <c r="I24" s="12">
        <f>VLOOKUP(Tabell46[[#This Row],[Namn]],'ALLA ÅR'!B:L,11,0)</f>
        <v>19</v>
      </c>
      <c r="J24" s="12">
        <f>RANK(Tabell46[[#This Row],[MÅL]],F:F)</f>
        <v>13</v>
      </c>
      <c r="K24" s="12">
        <f>RANK(Tabell46[[#This Row],[VAR]],D:D)</f>
        <v>25</v>
      </c>
      <c r="L24" s="12">
        <f>RANK(Tabell46[[#This Row],[MAT]],C:C)</f>
        <v>25</v>
      </c>
      <c r="M24" s="14">
        <f>Tabell46[[#This Row],[MAT]]/Tabell46[[#This Row],[ANTAL MATCHER]]</f>
        <v>0.48863636363636365</v>
      </c>
      <c r="N24" s="12">
        <f>SUMIF('ALLA ÅR'!B:B,Tabell46[[#This Row],[Namn]],'ALLA ÅR'!H:H)</f>
        <v>88</v>
      </c>
      <c r="O24" s="12">
        <f>RANK(Tabell46[[#This Row],[ÅLDER]],I:I)</f>
        <v>63</v>
      </c>
      <c r="P24" s="21">
        <f>Tabell46[[#This Row],[MÅL]]/Tabell46[[#This Row],[MAT]]</f>
        <v>0.32558139534883723</v>
      </c>
      <c r="Q24" s="12">
        <f>_xlfn.XLOOKUP(Tabell46[[#This Row],[Namn]],V:V,W:W)</f>
        <v>0</v>
      </c>
      <c r="R24" s="12">
        <f>_xlfn.XLOOKUP(Tabell46[[#This Row],[Namn]],V:V,X:X)</f>
        <v>11</v>
      </c>
      <c r="S24" s="12">
        <f>_xlfn.XLOOKUP(Tabell46[[#This Row],[Namn]],V:V,Y:Y)</f>
        <v>0</v>
      </c>
      <c r="T24" s="12">
        <f>_xlfn.XLOOKUP(Tabell46[[#This Row],[Namn]],V:V,Z:Z)</f>
        <v>3</v>
      </c>
      <c r="V24" s="3" t="s">
        <v>29</v>
      </c>
      <c r="W24" s="152"/>
      <c r="X24" s="152">
        <v>11</v>
      </c>
      <c r="Y24" s="152"/>
      <c r="Z24" s="152">
        <v>3</v>
      </c>
      <c r="AA24" s="152">
        <v>14</v>
      </c>
      <c r="AB24"/>
      <c r="AC24" s="3" t="s">
        <v>29</v>
      </c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>
        <v>0</v>
      </c>
      <c r="AQ24" s="152">
        <v>2</v>
      </c>
      <c r="AR24" s="152">
        <v>9</v>
      </c>
      <c r="AS24" s="152">
        <v>0</v>
      </c>
      <c r="AT24" s="152">
        <v>3</v>
      </c>
      <c r="AU24" s="151">
        <v>14</v>
      </c>
      <c r="AW24" s="3" t="s">
        <v>29</v>
      </c>
      <c r="AX24" s="151"/>
      <c r="AY24" s="151"/>
      <c r="AZ24" s="151">
        <v>0</v>
      </c>
      <c r="BA24" s="151">
        <v>2</v>
      </c>
      <c r="BB24" s="151">
        <v>9</v>
      </c>
      <c r="BC24" s="151">
        <v>0</v>
      </c>
      <c r="BD24" s="151">
        <v>3</v>
      </c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>
        <v>14</v>
      </c>
    </row>
    <row r="25" spans="1:81" x14ac:dyDescent="0.25">
      <c r="A25" s="15">
        <f>Tabell46[[#This Row],[RANK MÅL]]</f>
        <v>13</v>
      </c>
      <c r="B25" s="11" t="s">
        <v>64</v>
      </c>
      <c r="C25" s="12">
        <f>SUMIF('ALLA ÅR'!B:B,Tabell46[[#This Row],[Namn]],'ALLA ÅR'!C:C)</f>
        <v>48</v>
      </c>
      <c r="D25" s="12">
        <f>SUMIF('ALLA ÅR'!B:B,Tabell46[[#This Row],[Namn]],'ALLA ÅR'!E:E)</f>
        <v>1</v>
      </c>
      <c r="E25" s="12">
        <f>SUMIF('ALLA ÅR'!B:B,Tabell46[[#This Row],[Namn]],'ALLA ÅR'!F:F)</f>
        <v>0</v>
      </c>
      <c r="F25" s="12">
        <f>SUMIF('ALLA ÅR'!B:B,Tabell46[[#This Row],[Namn]],'ALLA ÅR'!G:G)</f>
        <v>14</v>
      </c>
      <c r="G25" s="12">
        <f>VLOOKUP(Tabell46[[#This Row],[Namn]],'ALLA ÅR'!B:J,9,0)</f>
        <v>2024</v>
      </c>
      <c r="H25" s="12">
        <f>COUNTIF('ALLA ÅR'!B:B,Tabell46[[#This Row],[Namn]])</f>
        <v>8</v>
      </c>
      <c r="I25" s="12">
        <f>VLOOKUP(Tabell46[[#This Row],[Namn]],'ALLA ÅR'!B:L,11,0)</f>
        <v>23</v>
      </c>
      <c r="J25" s="12">
        <f>RANK(Tabell46[[#This Row],[MÅL]],F:F)</f>
        <v>13</v>
      </c>
      <c r="K25" s="12">
        <f>RANK(Tabell46[[#This Row],[VAR]],D:D)</f>
        <v>25</v>
      </c>
      <c r="L25" s="12">
        <f>RANK(Tabell46[[#This Row],[MAT]],C:C)</f>
        <v>19</v>
      </c>
      <c r="M25" s="14">
        <f>Tabell46[[#This Row],[MAT]]/Tabell46[[#This Row],[ANTAL MATCHER]]</f>
        <v>0.30769230769230771</v>
      </c>
      <c r="N25" s="12">
        <f>SUMIF('ALLA ÅR'!B:B,Tabell46[[#This Row],[Namn]],'ALLA ÅR'!H:H)</f>
        <v>156</v>
      </c>
      <c r="O25" s="12">
        <f>RANK(Tabell46[[#This Row],[ÅLDER]],I:I)</f>
        <v>30</v>
      </c>
      <c r="P25" s="21">
        <f>Tabell46[[#This Row],[MÅL]]/Tabell46[[#This Row],[MAT]]</f>
        <v>0.29166666666666669</v>
      </c>
      <c r="Q25" s="12">
        <f>_xlfn.XLOOKUP(Tabell46[[#This Row],[Namn]],V:V,W:W)</f>
        <v>1</v>
      </c>
      <c r="R25" s="12">
        <f>_xlfn.XLOOKUP(Tabell46[[#This Row],[Namn]],V:V,X:X)</f>
        <v>3</v>
      </c>
      <c r="S25" s="12">
        <f>_xlfn.XLOOKUP(Tabell46[[#This Row],[Namn]],V:V,Y:Y)</f>
        <v>5</v>
      </c>
      <c r="T25" s="12">
        <f>_xlfn.XLOOKUP(Tabell46[[#This Row],[Namn]],V:V,Z:Z)</f>
        <v>5</v>
      </c>
      <c r="V25" s="3" t="s">
        <v>64</v>
      </c>
      <c r="W25" s="152">
        <v>1</v>
      </c>
      <c r="X25" s="152">
        <v>3</v>
      </c>
      <c r="Y25" s="152">
        <v>5</v>
      </c>
      <c r="Z25" s="152">
        <v>5</v>
      </c>
      <c r="AA25" s="152">
        <v>14</v>
      </c>
      <c r="AB25"/>
      <c r="AC25" s="3" t="s">
        <v>64</v>
      </c>
      <c r="AD25" s="152"/>
      <c r="AE25" s="152"/>
      <c r="AF25" s="152"/>
      <c r="AG25" s="152"/>
      <c r="AH25" s="152"/>
      <c r="AI25" s="152">
        <v>1</v>
      </c>
      <c r="AJ25" s="152">
        <v>4</v>
      </c>
      <c r="AK25" s="152">
        <v>5</v>
      </c>
      <c r="AL25" s="152"/>
      <c r="AM25" s="152"/>
      <c r="AN25" s="152">
        <v>1</v>
      </c>
      <c r="AO25" s="152">
        <v>1</v>
      </c>
      <c r="AP25" s="152">
        <v>1</v>
      </c>
      <c r="AQ25" s="152">
        <v>1</v>
      </c>
      <c r="AR25" s="152">
        <v>0</v>
      </c>
      <c r="AS25" s="152"/>
      <c r="AT25" s="152"/>
      <c r="AU25" s="151">
        <v>14</v>
      </c>
      <c r="AW25" s="3" t="s">
        <v>64</v>
      </c>
      <c r="AX25" s="151"/>
      <c r="AY25" s="151">
        <v>1</v>
      </c>
      <c r="AZ25" s="151">
        <v>4</v>
      </c>
      <c r="BA25" s="151">
        <v>5</v>
      </c>
      <c r="BB25" s="151"/>
      <c r="BC25" s="151"/>
      <c r="BD25" s="151">
        <v>1</v>
      </c>
      <c r="BE25" s="151">
        <v>1</v>
      </c>
      <c r="BF25" s="151">
        <v>1</v>
      </c>
      <c r="BG25" s="151">
        <v>1</v>
      </c>
      <c r="BH25" s="151">
        <v>0</v>
      </c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>
        <v>14</v>
      </c>
    </row>
    <row r="26" spans="1:81" x14ac:dyDescent="0.25">
      <c r="A26" s="13">
        <f>Tabell46[[#This Row],[RANK MÅL]]</f>
        <v>13</v>
      </c>
      <c r="B26" s="11" t="s">
        <v>139</v>
      </c>
      <c r="C26" s="12">
        <f>SUMIF('ALLA ÅR'!B:B,Tabell46[[#This Row],[Namn]],'ALLA ÅR'!C:C)</f>
        <v>37</v>
      </c>
      <c r="D26" s="12">
        <f>SUMIF('ALLA ÅR'!B:B,Tabell46[[#This Row],[Namn]],'ALLA ÅR'!E:E)</f>
        <v>0</v>
      </c>
      <c r="E26" s="12">
        <f>SUMIF('ALLA ÅR'!B:B,Tabell46[[#This Row],[Namn]],'ALLA ÅR'!F:F)</f>
        <v>0</v>
      </c>
      <c r="F26" s="12">
        <f>SUMIF('ALLA ÅR'!B:B,Tabell46[[#This Row],[Namn]],'ALLA ÅR'!G:G)</f>
        <v>14</v>
      </c>
      <c r="G26" s="12">
        <f>VLOOKUP(Tabell46[[#This Row],[Namn]],'ALLA ÅR'!B:J,9,0)</f>
        <v>2016</v>
      </c>
      <c r="H26" s="12">
        <f>COUNTIF('ALLA ÅR'!B:B,Tabell46[[#This Row],[Namn]])</f>
        <v>3</v>
      </c>
      <c r="I26" s="12">
        <f>VLOOKUP(Tabell46[[#This Row],[Namn]],'ALLA ÅR'!B:L,11,0)</f>
        <v>20</v>
      </c>
      <c r="J26" s="12">
        <f>RANK(Tabell46[[#This Row],[MÅL]],F:F)</f>
        <v>13</v>
      </c>
      <c r="K26" s="12">
        <f>RANK(Tabell46[[#This Row],[VAR]],D:D)</f>
        <v>44</v>
      </c>
      <c r="L26" s="12">
        <f>RANK(Tabell46[[#This Row],[MAT]],C:C)</f>
        <v>33</v>
      </c>
      <c r="M26" s="14">
        <f>Tabell46[[#This Row],[MAT]]/Tabell46[[#This Row],[ANTAL MATCHER]]</f>
        <v>0.77083333333333337</v>
      </c>
      <c r="N26" s="12">
        <f>SUMIF('ALLA ÅR'!B:B,Tabell46[[#This Row],[Namn]],'ALLA ÅR'!H:H)</f>
        <v>48</v>
      </c>
      <c r="O26" s="12">
        <f>RANK(Tabell46[[#This Row],[ÅLDER]],I:I)</f>
        <v>50</v>
      </c>
      <c r="P26" s="21">
        <f>Tabell46[[#This Row],[MÅL]]/Tabell46[[#This Row],[MAT]]</f>
        <v>0.3783783783783784</v>
      </c>
      <c r="Q26" s="12">
        <f>_xlfn.XLOOKUP(Tabell46[[#This Row],[Namn]],V:V,W:W)</f>
        <v>0</v>
      </c>
      <c r="R26" s="12">
        <f>_xlfn.XLOOKUP(Tabell46[[#This Row],[Namn]],V:V,X:X)</f>
        <v>0</v>
      </c>
      <c r="S26" s="12">
        <f>_xlfn.XLOOKUP(Tabell46[[#This Row],[Namn]],V:V,Y:Y)</f>
        <v>0</v>
      </c>
      <c r="T26" s="12">
        <f>_xlfn.XLOOKUP(Tabell46[[#This Row],[Namn]],V:V,Z:Z)</f>
        <v>14</v>
      </c>
      <c r="V26" s="3" t="s">
        <v>139</v>
      </c>
      <c r="W26" s="152"/>
      <c r="X26" s="152"/>
      <c r="Y26" s="152"/>
      <c r="Z26" s="152">
        <v>14</v>
      </c>
      <c r="AA26" s="152">
        <v>14</v>
      </c>
      <c r="AB26"/>
      <c r="AC26" s="3" t="s">
        <v>139</v>
      </c>
      <c r="AD26" s="152"/>
      <c r="AE26" s="152"/>
      <c r="AF26" s="152">
        <v>4</v>
      </c>
      <c r="AG26" s="152">
        <v>9</v>
      </c>
      <c r="AH26" s="152"/>
      <c r="AI26" s="152"/>
      <c r="AJ26" s="152">
        <v>1</v>
      </c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1">
        <v>14</v>
      </c>
      <c r="AW26" s="3" t="s">
        <v>139</v>
      </c>
      <c r="AX26" s="151"/>
      <c r="AY26" s="151"/>
      <c r="AZ26" s="151"/>
      <c r="BA26" s="151">
        <v>4</v>
      </c>
      <c r="BB26" s="151">
        <v>9</v>
      </c>
      <c r="BC26" s="151"/>
      <c r="BD26" s="151"/>
      <c r="BE26" s="151">
        <v>1</v>
      </c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>
        <v>14</v>
      </c>
    </row>
    <row r="27" spans="1:81" x14ac:dyDescent="0.25">
      <c r="A27" s="15">
        <f>Tabell46[[#This Row],[RANK MÅL]]</f>
        <v>16</v>
      </c>
      <c r="B27" s="11" t="s">
        <v>63</v>
      </c>
      <c r="C27" s="12">
        <f>SUMIF('ALLA ÅR'!B:B,Tabell46[[#This Row],[Namn]],'ALLA ÅR'!C:C)</f>
        <v>8</v>
      </c>
      <c r="D27" s="12">
        <f>SUMIF('ALLA ÅR'!B:B,Tabell46[[#This Row],[Namn]],'ALLA ÅR'!E:E)</f>
        <v>0</v>
      </c>
      <c r="E27" s="12">
        <f>SUMIF('ALLA ÅR'!B:B,Tabell46[[#This Row],[Namn]],'ALLA ÅR'!F:F)</f>
        <v>0</v>
      </c>
      <c r="F27" s="12">
        <f>SUMIF('ALLA ÅR'!B:B,Tabell46[[#This Row],[Namn]],'ALLA ÅR'!G:G)</f>
        <v>13</v>
      </c>
      <c r="G27" s="12">
        <f>VLOOKUP(Tabell46[[#This Row],[Namn]],'ALLA ÅR'!B:J,9,0)</f>
        <v>2024</v>
      </c>
      <c r="H27" s="12">
        <f>COUNTIF('ALLA ÅR'!B:B,Tabell46[[#This Row],[Namn]])</f>
        <v>1</v>
      </c>
      <c r="I27" s="12">
        <f>VLOOKUP(Tabell46[[#This Row],[Namn]],'ALLA ÅR'!B:L,11,0)</f>
        <v>23</v>
      </c>
      <c r="J27" s="12">
        <f>RANK(Tabell46[[#This Row],[MÅL]],F:F)</f>
        <v>16</v>
      </c>
      <c r="K27" s="12">
        <f>RANK(Tabell46[[#This Row],[VAR]],D:D)</f>
        <v>44</v>
      </c>
      <c r="L27" s="12">
        <f>RANK(Tabell46[[#This Row],[MAT]],C:C)</f>
        <v>84</v>
      </c>
      <c r="M27" s="14">
        <f>Tabell46[[#This Row],[MAT]]/Tabell46[[#This Row],[ANTAL MATCHER]]</f>
        <v>0.27586206896551724</v>
      </c>
      <c r="N27" s="12">
        <f>SUMIF('ALLA ÅR'!B:B,Tabell46[[#This Row],[Namn]],'ALLA ÅR'!H:H)</f>
        <v>29</v>
      </c>
      <c r="O27" s="12">
        <f>RANK(Tabell46[[#This Row],[ÅLDER]],I:I)</f>
        <v>30</v>
      </c>
      <c r="P27" s="21">
        <f>Tabell46[[#This Row],[MÅL]]/Tabell46[[#This Row],[MAT]]</f>
        <v>1.625</v>
      </c>
      <c r="Q27" s="12">
        <f>_xlfn.XLOOKUP(Tabell46[[#This Row],[Namn]],V:V,W:W)</f>
        <v>0</v>
      </c>
      <c r="R27" s="12">
        <f>_xlfn.XLOOKUP(Tabell46[[#This Row],[Namn]],V:V,X:X)</f>
        <v>13</v>
      </c>
      <c r="S27" s="12">
        <f>_xlfn.XLOOKUP(Tabell46[[#This Row],[Namn]],V:V,Y:Y)</f>
        <v>0</v>
      </c>
      <c r="T27" s="12">
        <f>_xlfn.XLOOKUP(Tabell46[[#This Row],[Namn]],V:V,Z:Z)</f>
        <v>0</v>
      </c>
      <c r="V27" s="3" t="s">
        <v>131</v>
      </c>
      <c r="W27" s="152"/>
      <c r="X27" s="152"/>
      <c r="Y27" s="152">
        <v>0</v>
      </c>
      <c r="Z27" s="152">
        <v>13</v>
      </c>
      <c r="AA27" s="152">
        <v>13</v>
      </c>
      <c r="AB27"/>
      <c r="AC27" s="3" t="s">
        <v>131</v>
      </c>
      <c r="AD27" s="152"/>
      <c r="AE27" s="152"/>
      <c r="AF27" s="152"/>
      <c r="AG27" s="152"/>
      <c r="AH27" s="152"/>
      <c r="AI27" s="152">
        <v>13</v>
      </c>
      <c r="AJ27" s="152"/>
      <c r="AK27" s="152">
        <v>0</v>
      </c>
      <c r="AL27" s="152"/>
      <c r="AM27" s="152"/>
      <c r="AN27" s="152"/>
      <c r="AO27" s="152"/>
      <c r="AP27" s="152"/>
      <c r="AQ27" s="152"/>
      <c r="AR27" s="152"/>
      <c r="AS27" s="152"/>
      <c r="AT27" s="152"/>
      <c r="AU27" s="151">
        <v>13</v>
      </c>
      <c r="AW27" s="3" t="s">
        <v>131</v>
      </c>
      <c r="AX27" s="151"/>
      <c r="AY27" s="151"/>
      <c r="AZ27" s="151"/>
      <c r="BA27" s="151"/>
      <c r="BB27" s="151"/>
      <c r="BC27" s="151"/>
      <c r="BD27" s="151">
        <v>13</v>
      </c>
      <c r="BE27" s="151"/>
      <c r="BF27" s="151">
        <v>0</v>
      </c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>
        <v>13</v>
      </c>
    </row>
    <row r="28" spans="1:81" x14ac:dyDescent="0.25">
      <c r="A28" s="13">
        <f>Tabell46[[#This Row],[RANK MÅL]]</f>
        <v>16</v>
      </c>
      <c r="B28" s="11" t="s">
        <v>101</v>
      </c>
      <c r="C28" s="12">
        <f>SUMIF('ALLA ÅR'!B:B,Tabell46[[#This Row],[Namn]],'ALLA ÅR'!C:C)</f>
        <v>121</v>
      </c>
      <c r="D28" s="12">
        <f>SUMIF('ALLA ÅR'!B:B,Tabell46[[#This Row],[Namn]],'ALLA ÅR'!E:E)</f>
        <v>2</v>
      </c>
      <c r="E28" s="12">
        <f>SUMIF('ALLA ÅR'!B:B,Tabell46[[#This Row],[Namn]],'ALLA ÅR'!F:F)</f>
        <v>1</v>
      </c>
      <c r="F28" s="12">
        <f>SUMIF('ALLA ÅR'!B:B,Tabell46[[#This Row],[Namn]],'ALLA ÅR'!G:G)</f>
        <v>13</v>
      </c>
      <c r="G28" s="12">
        <f>VLOOKUP(Tabell46[[#This Row],[Namn]],'ALLA ÅR'!B:J,9,0)</f>
        <v>2020</v>
      </c>
      <c r="H28" s="12">
        <f>COUNTIF('ALLA ÅR'!B:B,Tabell46[[#This Row],[Namn]])</f>
        <v>9</v>
      </c>
      <c r="I28" s="12">
        <f>VLOOKUP(Tabell46[[#This Row],[Namn]],'ALLA ÅR'!B:L,11,0)</f>
        <v>24</v>
      </c>
      <c r="J28" s="12">
        <f>RANK(Tabell46[[#This Row],[MÅL]],F:F)</f>
        <v>16</v>
      </c>
      <c r="K28" s="12">
        <f>RANK(Tabell46[[#This Row],[VAR]],D:D)</f>
        <v>18</v>
      </c>
      <c r="L28" s="12">
        <f>RANK(Tabell46[[#This Row],[MAT]],C:C)</f>
        <v>4</v>
      </c>
      <c r="M28" s="14">
        <f>Tabell46[[#This Row],[MAT]]/Tabell46[[#This Row],[ANTAL MATCHER]]</f>
        <v>0.77070063694267521</v>
      </c>
      <c r="N28" s="12">
        <f>SUMIF('ALLA ÅR'!B:B,Tabell46[[#This Row],[Namn]],'ALLA ÅR'!H:H)</f>
        <v>157</v>
      </c>
      <c r="O28" s="12">
        <f>RANK(Tabell46[[#This Row],[ÅLDER]],I:I)</f>
        <v>24</v>
      </c>
      <c r="P28" s="21">
        <f>Tabell46[[#This Row],[MÅL]]/Tabell46[[#This Row],[MAT]]</f>
        <v>0.10743801652892562</v>
      </c>
      <c r="Q28" s="12">
        <f>_xlfn.XLOOKUP(Tabell46[[#This Row],[Namn]],V:V,W:W)</f>
        <v>0</v>
      </c>
      <c r="R28" s="12">
        <f>_xlfn.XLOOKUP(Tabell46[[#This Row],[Namn]],V:V,X:X)</f>
        <v>2</v>
      </c>
      <c r="S28" s="12">
        <f>_xlfn.XLOOKUP(Tabell46[[#This Row],[Namn]],V:V,Y:Y)</f>
        <v>0</v>
      </c>
      <c r="T28" s="12">
        <f>_xlfn.XLOOKUP(Tabell46[[#This Row],[Namn]],V:V,Z:Z)</f>
        <v>11</v>
      </c>
      <c r="V28" s="3" t="s">
        <v>107</v>
      </c>
      <c r="W28" s="152"/>
      <c r="X28" s="152">
        <v>13</v>
      </c>
      <c r="Y28" s="152"/>
      <c r="Z28" s="152"/>
      <c r="AA28" s="152">
        <v>13</v>
      </c>
      <c r="AB28"/>
      <c r="AC28" s="3" t="s">
        <v>107</v>
      </c>
      <c r="AD28" s="152"/>
      <c r="AE28" s="152"/>
      <c r="AF28" s="152"/>
      <c r="AG28" s="152"/>
      <c r="AH28" s="152"/>
      <c r="AI28" s="152"/>
      <c r="AJ28" s="152"/>
      <c r="AK28" s="152"/>
      <c r="AL28" s="152"/>
      <c r="AM28" s="152">
        <v>13</v>
      </c>
      <c r="AN28" s="152"/>
      <c r="AO28" s="152"/>
      <c r="AP28" s="152"/>
      <c r="AQ28" s="152"/>
      <c r="AR28" s="152"/>
      <c r="AS28" s="152"/>
      <c r="AT28" s="152"/>
      <c r="AU28" s="151">
        <v>13</v>
      </c>
      <c r="AW28" s="3" t="s">
        <v>107</v>
      </c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>
        <v>13</v>
      </c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>
        <v>13</v>
      </c>
    </row>
    <row r="29" spans="1:81" x14ac:dyDescent="0.25">
      <c r="A29" s="15">
        <f>Tabell46[[#This Row],[RANK MÅL]]</f>
        <v>16</v>
      </c>
      <c r="B29" s="11" t="s">
        <v>107</v>
      </c>
      <c r="C29" s="12">
        <f>SUMIF('ALLA ÅR'!B:B,Tabell46[[#This Row],[Namn]],'ALLA ÅR'!C:C)</f>
        <v>17</v>
      </c>
      <c r="D29" s="12">
        <f>SUMIF('ALLA ÅR'!B:B,Tabell46[[#This Row],[Namn]],'ALLA ÅR'!E:E)</f>
        <v>0</v>
      </c>
      <c r="E29" s="12">
        <f>SUMIF('ALLA ÅR'!B:B,Tabell46[[#This Row],[Namn]],'ALLA ÅR'!F:F)</f>
        <v>0</v>
      </c>
      <c r="F29" s="12">
        <f>SUMIF('ALLA ÅR'!B:B,Tabell46[[#This Row],[Namn]],'ALLA ÅR'!G:G)</f>
        <v>13</v>
      </c>
      <c r="G29" s="12">
        <f>VLOOKUP(Tabell46[[#This Row],[Namn]],'ALLA ÅR'!B:J,9,0)</f>
        <v>2019</v>
      </c>
      <c r="H29" s="12">
        <f>COUNTIF('ALLA ÅR'!B:B,Tabell46[[#This Row],[Namn]])</f>
        <v>1</v>
      </c>
      <c r="I29" s="12">
        <f>VLOOKUP(Tabell46[[#This Row],[Namn]],'ALLA ÅR'!B:L,11,0)</f>
        <v>29</v>
      </c>
      <c r="J29" s="12">
        <f>RANK(Tabell46[[#This Row],[MÅL]],F:F)</f>
        <v>16</v>
      </c>
      <c r="K29" s="12">
        <f>RANK(Tabell46[[#This Row],[VAR]],D:D)</f>
        <v>44</v>
      </c>
      <c r="L29" s="12">
        <f>RANK(Tabell46[[#This Row],[MAT]],C:C)</f>
        <v>65</v>
      </c>
      <c r="M29" s="14">
        <f>Tabell46[[#This Row],[MAT]]/Tabell46[[#This Row],[ANTAL MATCHER]]</f>
        <v>0.65384615384615385</v>
      </c>
      <c r="N29" s="12">
        <f>SUMIF('ALLA ÅR'!B:B,Tabell46[[#This Row],[Namn]],'ALLA ÅR'!H:H)</f>
        <v>26</v>
      </c>
      <c r="O29" s="12">
        <f>RANK(Tabell46[[#This Row],[ÅLDER]],I:I)</f>
        <v>10</v>
      </c>
      <c r="P29" s="21">
        <f>Tabell46[[#This Row],[MÅL]]/Tabell46[[#This Row],[MAT]]</f>
        <v>0.76470588235294112</v>
      </c>
      <c r="Q29" s="12">
        <f>_xlfn.XLOOKUP(Tabell46[[#This Row],[Namn]],V:V,W:W)</f>
        <v>0</v>
      </c>
      <c r="R29" s="12">
        <f>_xlfn.XLOOKUP(Tabell46[[#This Row],[Namn]],V:V,X:X)</f>
        <v>13</v>
      </c>
      <c r="S29" s="12">
        <f>_xlfn.XLOOKUP(Tabell46[[#This Row],[Namn]],V:V,Y:Y)</f>
        <v>0</v>
      </c>
      <c r="T29" s="12">
        <f>_xlfn.XLOOKUP(Tabell46[[#This Row],[Namn]],V:V,Z:Z)</f>
        <v>0</v>
      </c>
      <c r="V29" s="3" t="s">
        <v>101</v>
      </c>
      <c r="W29" s="152">
        <v>0</v>
      </c>
      <c r="X29" s="152">
        <v>2</v>
      </c>
      <c r="Y29" s="152">
        <v>0</v>
      </c>
      <c r="Z29" s="152">
        <v>11</v>
      </c>
      <c r="AA29" s="152">
        <v>13</v>
      </c>
      <c r="AB29"/>
      <c r="AC29" s="3" t="s">
        <v>101</v>
      </c>
      <c r="AD29" s="152"/>
      <c r="AE29" s="152"/>
      <c r="AF29" s="152">
        <v>0</v>
      </c>
      <c r="AG29" s="152">
        <v>0</v>
      </c>
      <c r="AH29" s="152">
        <v>6</v>
      </c>
      <c r="AI29" s="152">
        <v>4</v>
      </c>
      <c r="AJ29" s="152">
        <v>1</v>
      </c>
      <c r="AK29" s="152">
        <v>0</v>
      </c>
      <c r="AL29" s="152">
        <v>2</v>
      </c>
      <c r="AM29" s="152">
        <v>0</v>
      </c>
      <c r="AN29" s="152">
        <v>0</v>
      </c>
      <c r="AO29" s="152"/>
      <c r="AP29" s="152"/>
      <c r="AQ29" s="152"/>
      <c r="AR29" s="152"/>
      <c r="AS29" s="152"/>
      <c r="AT29" s="152"/>
      <c r="AU29" s="151">
        <v>13</v>
      </c>
      <c r="AW29" s="3" t="s">
        <v>101</v>
      </c>
      <c r="AX29" s="151"/>
      <c r="AY29" s="151"/>
      <c r="AZ29" s="151"/>
      <c r="BA29" s="151">
        <v>0</v>
      </c>
      <c r="BB29" s="151">
        <v>0</v>
      </c>
      <c r="BC29" s="151">
        <v>6</v>
      </c>
      <c r="BD29" s="151">
        <v>4</v>
      </c>
      <c r="BE29" s="151">
        <v>1</v>
      </c>
      <c r="BF29" s="151">
        <v>0</v>
      </c>
      <c r="BG29" s="151">
        <v>2</v>
      </c>
      <c r="BH29" s="151">
        <v>0</v>
      </c>
      <c r="BI29" s="151">
        <v>0</v>
      </c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>
        <v>13</v>
      </c>
    </row>
    <row r="30" spans="1:81" x14ac:dyDescent="0.25">
      <c r="A30" s="13">
        <f>Tabell46[[#This Row],[RANK MÅL]]</f>
        <v>16</v>
      </c>
      <c r="B30" s="11" t="s">
        <v>131</v>
      </c>
      <c r="C30" s="12">
        <f>SUMIF('ALLA ÅR'!B:B,Tabell46[[#This Row],[Namn]],'ALLA ÅR'!C:C)</f>
        <v>13</v>
      </c>
      <c r="D30" s="12">
        <f>SUMIF('ALLA ÅR'!B:B,Tabell46[[#This Row],[Namn]],'ALLA ÅR'!E:E)</f>
        <v>0</v>
      </c>
      <c r="E30" s="12">
        <f>SUMIF('ALLA ÅR'!B:B,Tabell46[[#This Row],[Namn]],'ALLA ÅR'!F:F)</f>
        <v>0</v>
      </c>
      <c r="F30" s="12">
        <f>SUMIF('ALLA ÅR'!B:B,Tabell46[[#This Row],[Namn]],'ALLA ÅR'!G:G)</f>
        <v>13</v>
      </c>
      <c r="G30" s="12">
        <f>VLOOKUP(Tabell46[[#This Row],[Namn]],'ALLA ÅR'!B:J,9,0)</f>
        <v>2017</v>
      </c>
      <c r="H30" s="12">
        <f>COUNTIF('ALLA ÅR'!B:B,Tabell46[[#This Row],[Namn]])</f>
        <v>2</v>
      </c>
      <c r="I30" s="12">
        <f>VLOOKUP(Tabell46[[#This Row],[Namn]],'ALLA ÅR'!B:L,11,0)</f>
        <v>21</v>
      </c>
      <c r="J30" s="12">
        <f>RANK(Tabell46[[#This Row],[MÅL]],F:F)</f>
        <v>16</v>
      </c>
      <c r="K30" s="12">
        <f>RANK(Tabell46[[#This Row],[VAR]],D:D)</f>
        <v>44</v>
      </c>
      <c r="L30" s="12">
        <f>RANK(Tabell46[[#This Row],[MAT]],C:C)</f>
        <v>73</v>
      </c>
      <c r="M30" s="14">
        <f>Tabell46[[#This Row],[MAT]]/Tabell46[[#This Row],[ANTAL MATCHER]]</f>
        <v>0.33333333333333331</v>
      </c>
      <c r="N30" s="12">
        <f>SUMIF('ALLA ÅR'!B:B,Tabell46[[#This Row],[Namn]],'ALLA ÅR'!H:H)</f>
        <v>39</v>
      </c>
      <c r="O30" s="12">
        <f>RANK(Tabell46[[#This Row],[ÅLDER]],I:I)</f>
        <v>42</v>
      </c>
      <c r="P30" s="21">
        <f>Tabell46[[#This Row],[MÅL]]/Tabell46[[#This Row],[MAT]]</f>
        <v>1</v>
      </c>
      <c r="Q30" s="12">
        <f>_xlfn.XLOOKUP(Tabell46[[#This Row],[Namn]],V:V,W:W)</f>
        <v>0</v>
      </c>
      <c r="R30" s="12">
        <f>_xlfn.XLOOKUP(Tabell46[[#This Row],[Namn]],V:V,X:X)</f>
        <v>0</v>
      </c>
      <c r="S30" s="12">
        <f>_xlfn.XLOOKUP(Tabell46[[#This Row],[Namn]],V:V,Y:Y)</f>
        <v>0</v>
      </c>
      <c r="T30" s="12">
        <f>_xlfn.XLOOKUP(Tabell46[[#This Row],[Namn]],V:V,Z:Z)</f>
        <v>13</v>
      </c>
      <c r="V30" s="3" t="s">
        <v>63</v>
      </c>
      <c r="W30" s="152"/>
      <c r="X30" s="152">
        <v>13</v>
      </c>
      <c r="Y30" s="152"/>
      <c r="Z30" s="152"/>
      <c r="AA30" s="152">
        <v>13</v>
      </c>
      <c r="AB30"/>
      <c r="AC30" s="3" t="s">
        <v>63</v>
      </c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>
        <v>13</v>
      </c>
      <c r="AS30" s="152"/>
      <c r="AT30" s="152"/>
      <c r="AU30" s="151">
        <v>13</v>
      </c>
      <c r="AW30" s="3" t="s">
        <v>63</v>
      </c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>
        <v>13</v>
      </c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>
        <v>13</v>
      </c>
    </row>
    <row r="31" spans="1:81" x14ac:dyDescent="0.25">
      <c r="A31" s="15">
        <f>Tabell46[[#This Row],[RANK MÅL]]</f>
        <v>20</v>
      </c>
      <c r="B31" s="11" t="s">
        <v>69</v>
      </c>
      <c r="C31" s="12">
        <f>SUMIF('ALLA ÅR'!B:B,Tabell46[[#This Row],[Namn]],'ALLA ÅR'!C:C)</f>
        <v>105</v>
      </c>
      <c r="D31" s="12">
        <f>SUMIF('ALLA ÅR'!B:B,Tabell46[[#This Row],[Namn]],'ALLA ÅR'!E:E)</f>
        <v>1</v>
      </c>
      <c r="E31" s="12">
        <f>SUMIF('ALLA ÅR'!B:B,Tabell46[[#This Row],[Namn]],'ALLA ÅR'!F:F)</f>
        <v>0</v>
      </c>
      <c r="F31" s="12">
        <f>SUMIF('ALLA ÅR'!B:B,Tabell46[[#This Row],[Namn]],'ALLA ÅR'!G:G)</f>
        <v>11</v>
      </c>
      <c r="G31" s="12">
        <f>VLOOKUP(Tabell46[[#This Row],[Namn]],'ALLA ÅR'!B:J,9,0)</f>
        <v>2023</v>
      </c>
      <c r="H31" s="12">
        <f>COUNTIF('ALLA ÅR'!B:B,Tabell46[[#This Row],[Namn]])</f>
        <v>6</v>
      </c>
      <c r="I31" s="12">
        <f>VLOOKUP(Tabell46[[#This Row],[Namn]],'ALLA ÅR'!B:L,11,0)</f>
        <v>27</v>
      </c>
      <c r="J31" s="12">
        <f>RANK(Tabell46[[#This Row],[MÅL]],F:F)</f>
        <v>20</v>
      </c>
      <c r="K31" s="12">
        <f>RANK(Tabell46[[#This Row],[VAR]],D:D)</f>
        <v>25</v>
      </c>
      <c r="L31" s="12">
        <f>RANK(Tabell46[[#This Row],[MAT]],C:C)</f>
        <v>6</v>
      </c>
      <c r="M31" s="14">
        <f>Tabell46[[#This Row],[MAT]]/Tabell46[[#This Row],[ANTAL MATCHER]]</f>
        <v>0.90517241379310343</v>
      </c>
      <c r="N31" s="12">
        <f>SUMIF('ALLA ÅR'!B:B,Tabell46[[#This Row],[Namn]],'ALLA ÅR'!H:H)</f>
        <v>116</v>
      </c>
      <c r="O31" s="12">
        <f>RANK(Tabell46[[#This Row],[ÅLDER]],I:I)</f>
        <v>12</v>
      </c>
      <c r="P31" s="21">
        <f>Tabell46[[#This Row],[MÅL]]/Tabell46[[#This Row],[MAT]]</f>
        <v>0.10476190476190476</v>
      </c>
      <c r="Q31" s="12">
        <f>_xlfn.XLOOKUP(Tabell46[[#This Row],[Namn]],V:V,W:W)</f>
        <v>0</v>
      </c>
      <c r="R31" s="12">
        <f>_xlfn.XLOOKUP(Tabell46[[#This Row],[Namn]],V:V,X:X)</f>
        <v>11</v>
      </c>
      <c r="S31" s="12">
        <f>_xlfn.XLOOKUP(Tabell46[[#This Row],[Namn]],V:V,Y:Y)</f>
        <v>0</v>
      </c>
      <c r="T31" s="12">
        <f>_xlfn.XLOOKUP(Tabell46[[#This Row],[Namn]],V:V,Z:Z)</f>
        <v>0</v>
      </c>
      <c r="V31" s="3" t="s">
        <v>69</v>
      </c>
      <c r="W31" s="152">
        <v>0</v>
      </c>
      <c r="X31" s="152">
        <v>11</v>
      </c>
      <c r="Y31" s="152"/>
      <c r="Z31" s="152"/>
      <c r="AA31" s="152">
        <v>11</v>
      </c>
      <c r="AB31"/>
      <c r="AC31" s="3" t="s">
        <v>69</v>
      </c>
      <c r="AD31" s="152"/>
      <c r="AE31" s="152"/>
      <c r="AF31" s="152"/>
      <c r="AG31" s="152"/>
      <c r="AH31" s="152"/>
      <c r="AI31" s="152"/>
      <c r="AJ31" s="152"/>
      <c r="AK31" s="152"/>
      <c r="AL31" s="152">
        <v>3</v>
      </c>
      <c r="AM31" s="152">
        <v>7</v>
      </c>
      <c r="AN31" s="152">
        <v>0</v>
      </c>
      <c r="AO31" s="152">
        <v>0</v>
      </c>
      <c r="AP31" s="152">
        <v>1</v>
      </c>
      <c r="AQ31" s="152">
        <v>0</v>
      </c>
      <c r="AR31" s="152"/>
      <c r="AS31" s="152"/>
      <c r="AT31" s="152"/>
      <c r="AU31" s="151">
        <v>11</v>
      </c>
      <c r="AW31" s="3" t="s">
        <v>69</v>
      </c>
      <c r="AX31" s="151"/>
      <c r="AY31" s="151"/>
      <c r="AZ31" s="151"/>
      <c r="BA31" s="151"/>
      <c r="BB31" s="151"/>
      <c r="BC31" s="151"/>
      <c r="BD31" s="151"/>
      <c r="BE31" s="151"/>
      <c r="BF31" s="151"/>
      <c r="BG31" s="151">
        <v>3</v>
      </c>
      <c r="BH31" s="151">
        <v>7</v>
      </c>
      <c r="BI31" s="151">
        <v>0</v>
      </c>
      <c r="BJ31" s="151">
        <v>0</v>
      </c>
      <c r="BK31" s="151">
        <v>1</v>
      </c>
      <c r="BL31" s="151">
        <v>0</v>
      </c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>
        <v>11</v>
      </c>
    </row>
    <row r="32" spans="1:81" x14ac:dyDescent="0.25">
      <c r="A32" s="13">
        <f>Tabell46[[#This Row],[RANK MÅL]]</f>
        <v>20</v>
      </c>
      <c r="B32" s="11" t="s">
        <v>89</v>
      </c>
      <c r="C32" s="12">
        <f>SUMIF('ALLA ÅR'!B:B,Tabell46[[#This Row],[Namn]],'ALLA ÅR'!C:C)</f>
        <v>63</v>
      </c>
      <c r="D32" s="12">
        <f>SUMIF('ALLA ÅR'!B:B,Tabell46[[#This Row],[Namn]],'ALLA ÅR'!E:E)</f>
        <v>0</v>
      </c>
      <c r="E32" s="12">
        <f>SUMIF('ALLA ÅR'!B:B,Tabell46[[#This Row],[Namn]],'ALLA ÅR'!F:F)</f>
        <v>0</v>
      </c>
      <c r="F32" s="12">
        <f>SUMIF('ALLA ÅR'!B:B,Tabell46[[#This Row],[Namn]],'ALLA ÅR'!G:G)</f>
        <v>11</v>
      </c>
      <c r="G32" s="12">
        <f>VLOOKUP(Tabell46[[#This Row],[Namn]],'ALLA ÅR'!B:J,9,0)</f>
        <v>2022</v>
      </c>
      <c r="H32" s="12">
        <f>COUNTIF('ALLA ÅR'!B:B,Tabell46[[#This Row],[Namn]])</f>
        <v>5</v>
      </c>
      <c r="I32" s="12">
        <f>VLOOKUP(Tabell46[[#This Row],[Namn]],'ALLA ÅR'!B:L,11,0)</f>
        <v>31</v>
      </c>
      <c r="J32" s="12">
        <f>RANK(Tabell46[[#This Row],[MÅL]],F:F)</f>
        <v>20</v>
      </c>
      <c r="K32" s="12">
        <f>RANK(Tabell46[[#This Row],[VAR]],D:D)</f>
        <v>44</v>
      </c>
      <c r="L32" s="12">
        <f>RANK(Tabell46[[#This Row],[MAT]],C:C)</f>
        <v>13</v>
      </c>
      <c r="M32" s="14">
        <f>Tabell46[[#This Row],[MAT]]/Tabell46[[#This Row],[ANTAL MATCHER]]</f>
        <v>0.63636363636363635</v>
      </c>
      <c r="N32" s="12">
        <f>SUMIF('ALLA ÅR'!B:B,Tabell46[[#This Row],[Namn]],'ALLA ÅR'!H:H)</f>
        <v>99</v>
      </c>
      <c r="O32" s="12">
        <f>RANK(Tabell46[[#This Row],[ÅLDER]],I:I)</f>
        <v>7</v>
      </c>
      <c r="P32" s="21">
        <f>Tabell46[[#This Row],[MÅL]]/Tabell46[[#This Row],[MAT]]</f>
        <v>0.17460317460317459</v>
      </c>
      <c r="Q32" s="12">
        <f>_xlfn.XLOOKUP(Tabell46[[#This Row],[Namn]],V:V,W:W)</f>
        <v>0</v>
      </c>
      <c r="R32" s="12">
        <f>_xlfn.XLOOKUP(Tabell46[[#This Row],[Namn]],V:V,X:X)</f>
        <v>8</v>
      </c>
      <c r="S32" s="12">
        <f>_xlfn.XLOOKUP(Tabell46[[#This Row],[Namn]],V:V,Y:Y)</f>
        <v>3</v>
      </c>
      <c r="T32" s="12">
        <f>_xlfn.XLOOKUP(Tabell46[[#This Row],[Namn]],V:V,Z:Z)</f>
        <v>0</v>
      </c>
      <c r="V32" s="3" t="s">
        <v>153</v>
      </c>
      <c r="W32" s="152"/>
      <c r="X32" s="152"/>
      <c r="Y32" s="152">
        <v>1</v>
      </c>
      <c r="Z32" s="152">
        <v>10</v>
      </c>
      <c r="AA32" s="152">
        <v>11</v>
      </c>
      <c r="AB32"/>
      <c r="AC32" s="3" t="s">
        <v>153</v>
      </c>
      <c r="AD32" s="152"/>
      <c r="AE32" s="152">
        <v>1</v>
      </c>
      <c r="AF32" s="152">
        <v>1</v>
      </c>
      <c r="AG32" s="152">
        <v>1</v>
      </c>
      <c r="AH32" s="152">
        <v>5</v>
      </c>
      <c r="AI32" s="152">
        <v>3</v>
      </c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1">
        <v>11</v>
      </c>
      <c r="AW32" s="3" t="s">
        <v>153</v>
      </c>
      <c r="AX32" s="151"/>
      <c r="AY32" s="151"/>
      <c r="AZ32" s="151"/>
      <c r="BA32" s="151"/>
      <c r="BB32" s="151"/>
      <c r="BC32" s="151"/>
      <c r="BD32" s="151">
        <v>1</v>
      </c>
      <c r="BE32" s="151">
        <v>1</v>
      </c>
      <c r="BF32" s="151">
        <v>1</v>
      </c>
      <c r="BG32" s="151">
        <v>5</v>
      </c>
      <c r="BH32" s="151">
        <v>3</v>
      </c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>
        <v>11</v>
      </c>
    </row>
    <row r="33" spans="1:81" x14ac:dyDescent="0.25">
      <c r="A33" s="15">
        <f>Tabell46[[#This Row],[RANK MÅL]]</f>
        <v>20</v>
      </c>
      <c r="B33" s="11" t="s">
        <v>153</v>
      </c>
      <c r="C33" s="12">
        <f>SUMIF('ALLA ÅR'!B:B,Tabell46[[#This Row],[Namn]],'ALLA ÅR'!C:C)</f>
        <v>39</v>
      </c>
      <c r="D33" s="12">
        <f>SUMIF('ALLA ÅR'!B:B,Tabell46[[#This Row],[Namn]],'ALLA ÅR'!E:E)</f>
        <v>3</v>
      </c>
      <c r="E33" s="12">
        <f>SUMIF('ALLA ÅR'!B:B,Tabell46[[#This Row],[Namn]],'ALLA ÅR'!F:F)</f>
        <v>0</v>
      </c>
      <c r="F33" s="12">
        <f>SUMIF('ALLA ÅR'!B:B,Tabell46[[#This Row],[Namn]],'ALLA ÅR'!G:G)</f>
        <v>11</v>
      </c>
      <c r="G33" s="12">
        <f>VLOOKUP(Tabell46[[#This Row],[Namn]],'ALLA ÅR'!B:J,9,0)</f>
        <v>2015</v>
      </c>
      <c r="H33" s="12">
        <f>COUNTIF('ALLA ÅR'!B:B,Tabell46[[#This Row],[Namn]])</f>
        <v>5</v>
      </c>
      <c r="I33" s="12">
        <f>VLOOKUP(Tabell46[[#This Row],[Namn]],'ALLA ÅR'!B:L,11,0)</f>
        <v>23</v>
      </c>
      <c r="J33" s="12">
        <f>RANK(Tabell46[[#This Row],[MÅL]],F:F)</f>
        <v>20</v>
      </c>
      <c r="K33" s="12">
        <f>RANK(Tabell46[[#This Row],[VAR]],D:D)</f>
        <v>10</v>
      </c>
      <c r="L33" s="12">
        <f>RANK(Tabell46[[#This Row],[MAT]],C:C)</f>
        <v>30</v>
      </c>
      <c r="M33" s="14">
        <f>Tabell46[[#This Row],[MAT]]/Tabell46[[#This Row],[ANTAL MATCHER]]</f>
        <v>0.41052631578947368</v>
      </c>
      <c r="N33" s="12">
        <f>SUMIF('ALLA ÅR'!B:B,Tabell46[[#This Row],[Namn]],'ALLA ÅR'!H:H)</f>
        <v>95</v>
      </c>
      <c r="O33" s="12">
        <f>RANK(Tabell46[[#This Row],[ÅLDER]],I:I)</f>
        <v>30</v>
      </c>
      <c r="P33" s="21">
        <f>Tabell46[[#This Row],[MÅL]]/Tabell46[[#This Row],[MAT]]</f>
        <v>0.28205128205128205</v>
      </c>
      <c r="Q33" s="12">
        <f>_xlfn.XLOOKUP(Tabell46[[#This Row],[Namn]],V:V,W:W)</f>
        <v>0</v>
      </c>
      <c r="R33" s="12">
        <f>_xlfn.XLOOKUP(Tabell46[[#This Row],[Namn]],V:V,X:X)</f>
        <v>0</v>
      </c>
      <c r="S33" s="12">
        <f>_xlfn.XLOOKUP(Tabell46[[#This Row],[Namn]],V:V,Y:Y)</f>
        <v>1</v>
      </c>
      <c r="T33" s="12">
        <f>_xlfn.XLOOKUP(Tabell46[[#This Row],[Namn]],V:V,Z:Z)</f>
        <v>10</v>
      </c>
      <c r="V33" s="3" t="s">
        <v>89</v>
      </c>
      <c r="W33" s="152">
        <v>0</v>
      </c>
      <c r="X33" s="152">
        <v>8</v>
      </c>
      <c r="Y33" s="152">
        <v>3</v>
      </c>
      <c r="Z33" s="152"/>
      <c r="AA33" s="152">
        <v>11</v>
      </c>
      <c r="AB33"/>
      <c r="AC33" s="3" t="s">
        <v>89</v>
      </c>
      <c r="AD33" s="152"/>
      <c r="AE33" s="152"/>
      <c r="AF33" s="152"/>
      <c r="AG33" s="152"/>
      <c r="AH33" s="152"/>
      <c r="AI33" s="152"/>
      <c r="AJ33" s="152"/>
      <c r="AK33" s="152">
        <v>3</v>
      </c>
      <c r="AL33" s="152">
        <v>3</v>
      </c>
      <c r="AM33" s="152">
        <v>5</v>
      </c>
      <c r="AN33" s="152">
        <v>0</v>
      </c>
      <c r="AO33" s="152"/>
      <c r="AP33" s="152">
        <v>0</v>
      </c>
      <c r="AQ33" s="152"/>
      <c r="AR33" s="152"/>
      <c r="AS33" s="152"/>
      <c r="AT33" s="152"/>
      <c r="AU33" s="151">
        <v>11</v>
      </c>
      <c r="AW33" s="3" t="s">
        <v>89</v>
      </c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>
        <v>3</v>
      </c>
      <c r="BL33" s="151">
        <v>3</v>
      </c>
      <c r="BM33" s="151">
        <v>5</v>
      </c>
      <c r="BN33" s="151">
        <v>0</v>
      </c>
      <c r="BO33" s="151"/>
      <c r="BP33" s="151">
        <v>0</v>
      </c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>
        <v>11</v>
      </c>
    </row>
    <row r="34" spans="1:81" x14ac:dyDescent="0.25">
      <c r="A34" s="13">
        <f>Tabell46[[#This Row],[RANK MÅL]]</f>
        <v>23</v>
      </c>
      <c r="B34" s="11" t="s">
        <v>184</v>
      </c>
      <c r="C34" s="12">
        <f>SUMIF('ALLA ÅR'!B:B,Tabell46[[#This Row],[Namn]],'ALLA ÅR'!C:C)</f>
        <v>45</v>
      </c>
      <c r="D34" s="12">
        <f>SUMIF('ALLA ÅR'!B:B,Tabell46[[#This Row],[Namn]],'ALLA ÅR'!E:E)</f>
        <v>0</v>
      </c>
      <c r="E34" s="12">
        <f>SUMIF('ALLA ÅR'!B:B,Tabell46[[#This Row],[Namn]],'ALLA ÅR'!F:F)</f>
        <v>0</v>
      </c>
      <c r="F34" s="12">
        <f>SUMIF('ALLA ÅR'!B:B,Tabell46[[#This Row],[Namn]],'ALLA ÅR'!G:G)</f>
        <v>10</v>
      </c>
      <c r="G34" s="12">
        <f>VLOOKUP(Tabell46[[#This Row],[Namn]],'ALLA ÅR'!B:J,9,0)</f>
        <v>2011</v>
      </c>
      <c r="H34" s="12">
        <f>COUNTIF('ALLA ÅR'!B:B,Tabell46[[#This Row],[Namn]])</f>
        <v>2</v>
      </c>
      <c r="I34" s="12">
        <f>VLOOKUP(Tabell46[[#This Row],[Namn]],'ALLA ÅR'!B:L,11,0)</f>
        <v>19</v>
      </c>
      <c r="J34" s="12">
        <f>RANK(Tabell46[[#This Row],[MÅL]],F:F)</f>
        <v>23</v>
      </c>
      <c r="K34" s="12">
        <f>RANK(Tabell46[[#This Row],[VAR]],D:D)</f>
        <v>44</v>
      </c>
      <c r="L34" s="12">
        <f>RANK(Tabell46[[#This Row],[MAT]],C:C)</f>
        <v>22</v>
      </c>
      <c r="M34" s="14">
        <f>Tabell46[[#This Row],[MAT]]/Tabell46[[#This Row],[ANTAL MATCHER]]</f>
        <v>0.97826086956521741</v>
      </c>
      <c r="N34" s="12">
        <f>SUMIF('ALLA ÅR'!B:B,Tabell46[[#This Row],[Namn]],'ALLA ÅR'!H:H)</f>
        <v>46</v>
      </c>
      <c r="O34" s="12">
        <f>RANK(Tabell46[[#This Row],[ÅLDER]],I:I)</f>
        <v>63</v>
      </c>
      <c r="P34" s="21">
        <f>Tabell46[[#This Row],[MÅL]]/Tabell46[[#This Row],[MAT]]</f>
        <v>0.22222222222222221</v>
      </c>
      <c r="Q34" s="12">
        <f>_xlfn.XLOOKUP(Tabell46[[#This Row],[Namn]],V:V,W:W)</f>
        <v>0</v>
      </c>
      <c r="R34" s="12">
        <f>_xlfn.XLOOKUP(Tabell46[[#This Row],[Namn]],V:V,X:X)</f>
        <v>0</v>
      </c>
      <c r="S34" s="12">
        <f>_xlfn.XLOOKUP(Tabell46[[#This Row],[Namn]],V:V,Y:Y)</f>
        <v>10</v>
      </c>
      <c r="T34" s="12">
        <f>_xlfn.XLOOKUP(Tabell46[[#This Row],[Namn]],V:V,Z:Z)</f>
        <v>0</v>
      </c>
      <c r="V34" s="3" t="s">
        <v>184</v>
      </c>
      <c r="W34" s="152"/>
      <c r="X34" s="152"/>
      <c r="Y34" s="152">
        <v>10</v>
      </c>
      <c r="Z34" s="152"/>
      <c r="AA34" s="152">
        <v>10</v>
      </c>
      <c r="AB34"/>
      <c r="AC34" s="3" t="s">
        <v>194</v>
      </c>
      <c r="AD34" s="152">
        <v>8</v>
      </c>
      <c r="AE34" s="152">
        <v>2</v>
      </c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1">
        <v>10</v>
      </c>
      <c r="AW34" s="3" t="s">
        <v>194</v>
      </c>
      <c r="AX34" s="151"/>
      <c r="AY34" s="151"/>
      <c r="AZ34" s="151"/>
      <c r="BA34" s="151"/>
      <c r="BB34" s="151"/>
      <c r="BC34" s="151">
        <v>8</v>
      </c>
      <c r="BD34" s="151">
        <v>2</v>
      </c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/>
      <c r="BY34" s="151"/>
      <c r="BZ34" s="151"/>
      <c r="CA34" s="151"/>
      <c r="CB34" s="151"/>
      <c r="CC34" s="151">
        <v>10</v>
      </c>
    </row>
    <row r="35" spans="1:81" x14ac:dyDescent="0.25">
      <c r="A35" s="15">
        <f>Tabell46[[#This Row],[RANK MÅL]]</f>
        <v>23</v>
      </c>
      <c r="B35" s="11" t="s">
        <v>194</v>
      </c>
      <c r="C35" s="12">
        <f>SUMIF('ALLA ÅR'!B:B,Tabell46[[#This Row],[Namn]],'ALLA ÅR'!C:C)</f>
        <v>21</v>
      </c>
      <c r="D35" s="12">
        <f>SUMIF('ALLA ÅR'!B:B,Tabell46[[#This Row],[Namn]],'ALLA ÅR'!E:E)</f>
        <v>2</v>
      </c>
      <c r="E35" s="12">
        <f>SUMIF('ALLA ÅR'!B:B,Tabell46[[#This Row],[Namn]],'ALLA ÅR'!F:F)</f>
        <v>0</v>
      </c>
      <c r="F35" s="12">
        <f>SUMIF('ALLA ÅR'!B:B,Tabell46[[#This Row],[Namn]],'ALLA ÅR'!G:G)</f>
        <v>10</v>
      </c>
      <c r="G35" s="12">
        <f>VLOOKUP(Tabell46[[#This Row],[Namn]],'ALLA ÅR'!B:J,9,0)</f>
        <v>2011</v>
      </c>
      <c r="H35" s="12">
        <f>COUNTIF('ALLA ÅR'!B:B,Tabell46[[#This Row],[Namn]])</f>
        <v>2</v>
      </c>
      <c r="I35" s="12">
        <f>VLOOKUP(Tabell46[[#This Row],[Namn]],'ALLA ÅR'!B:L,11,0)</f>
        <v>19</v>
      </c>
      <c r="J35" s="12">
        <f>RANK(Tabell46[[#This Row],[MÅL]],F:F)</f>
        <v>23</v>
      </c>
      <c r="K35" s="12">
        <f>RANK(Tabell46[[#This Row],[VAR]],D:D)</f>
        <v>18</v>
      </c>
      <c r="L35" s="12">
        <f>RANK(Tabell46[[#This Row],[MAT]],C:C)</f>
        <v>59</v>
      </c>
      <c r="M35" s="14">
        <f>Tabell46[[#This Row],[MAT]]/Tabell46[[#This Row],[ANTAL MATCHER]]</f>
        <v>0.45652173913043476</v>
      </c>
      <c r="N35" s="12">
        <f>SUMIF('ALLA ÅR'!B:B,Tabell46[[#This Row],[Namn]],'ALLA ÅR'!H:H)</f>
        <v>46</v>
      </c>
      <c r="O35" s="12">
        <f>RANK(Tabell46[[#This Row],[ÅLDER]],I:I)</f>
        <v>63</v>
      </c>
      <c r="P35" s="21">
        <f>Tabell46[[#This Row],[MÅL]]/Tabell46[[#This Row],[MAT]]</f>
        <v>0.47619047619047616</v>
      </c>
      <c r="Q35" s="12">
        <f>_xlfn.XLOOKUP(Tabell46[[#This Row],[Namn]],V:V,W:W)</f>
        <v>0</v>
      </c>
      <c r="R35" s="12">
        <f>_xlfn.XLOOKUP(Tabell46[[#This Row],[Namn]],V:V,X:X)</f>
        <v>0</v>
      </c>
      <c r="S35" s="12">
        <f>_xlfn.XLOOKUP(Tabell46[[#This Row],[Namn]],V:V,Y:Y)</f>
        <v>10</v>
      </c>
      <c r="T35" s="12">
        <f>_xlfn.XLOOKUP(Tabell46[[#This Row],[Namn]],V:V,Z:Z)</f>
        <v>0</v>
      </c>
      <c r="V35" s="3" t="s">
        <v>194</v>
      </c>
      <c r="W35" s="152"/>
      <c r="X35" s="152"/>
      <c r="Y35" s="152">
        <v>10</v>
      </c>
      <c r="Z35" s="152"/>
      <c r="AA35" s="152">
        <v>10</v>
      </c>
      <c r="AB35"/>
      <c r="AC35" s="3" t="s">
        <v>184</v>
      </c>
      <c r="AD35" s="152">
        <v>8</v>
      </c>
      <c r="AE35" s="152">
        <v>2</v>
      </c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1">
        <v>10</v>
      </c>
      <c r="AW35" s="3" t="s">
        <v>184</v>
      </c>
      <c r="AX35" s="151"/>
      <c r="AY35" s="151"/>
      <c r="AZ35" s="151"/>
      <c r="BA35" s="151"/>
      <c r="BB35" s="151"/>
      <c r="BC35" s="151">
        <v>8</v>
      </c>
      <c r="BD35" s="151">
        <v>2</v>
      </c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>
        <v>10</v>
      </c>
    </row>
    <row r="36" spans="1:81" x14ac:dyDescent="0.25">
      <c r="A36" s="13">
        <f>Tabell46[[#This Row],[RANK MÅL]]</f>
        <v>25</v>
      </c>
      <c r="B36" s="11" t="s">
        <v>74</v>
      </c>
      <c r="C36" s="12">
        <f>SUMIF('ALLA ÅR'!B:B,Tabell46[[#This Row],[Namn]],'ALLA ÅR'!C:C)</f>
        <v>200</v>
      </c>
      <c r="D36" s="12">
        <f>SUMIF('ALLA ÅR'!B:B,Tabell46[[#This Row],[Namn]],'ALLA ÅR'!E:E)</f>
        <v>1</v>
      </c>
      <c r="E36" s="12">
        <f>SUMIF('ALLA ÅR'!B:B,Tabell46[[#This Row],[Namn]],'ALLA ÅR'!F:F)</f>
        <v>0</v>
      </c>
      <c r="F36" s="12">
        <f>SUMIF('ALLA ÅR'!B:B,Tabell46[[#This Row],[Namn]],'ALLA ÅR'!G:G)</f>
        <v>9</v>
      </c>
      <c r="G36" s="12">
        <f>VLOOKUP(Tabell46[[#This Row],[Namn]],'ALLA ÅR'!B:J,9,0)</f>
        <v>2023</v>
      </c>
      <c r="H36" s="12">
        <f>COUNTIF('ALLA ÅR'!B:B,Tabell46[[#This Row],[Namn]])</f>
        <v>12</v>
      </c>
      <c r="I36" s="12">
        <f>VLOOKUP(Tabell46[[#This Row],[Namn]],'ALLA ÅR'!B:L,11,0)</f>
        <v>27</v>
      </c>
      <c r="J36" s="12">
        <f>RANK(Tabell46[[#This Row],[MÅL]],F:F)</f>
        <v>25</v>
      </c>
      <c r="K36" s="12">
        <f>RANK(Tabell46[[#This Row],[VAR]],D:D)</f>
        <v>25</v>
      </c>
      <c r="L36" s="12">
        <f>RANK(Tabell46[[#This Row],[MAT]],C:C)</f>
        <v>1</v>
      </c>
      <c r="M36" s="14">
        <f>Tabell46[[#This Row],[MAT]]/Tabell46[[#This Row],[ANTAL MATCHER]]</f>
        <v>0.91324200913242004</v>
      </c>
      <c r="N36" s="12">
        <f>SUMIF('ALLA ÅR'!B:B,Tabell46[[#This Row],[Namn]],'ALLA ÅR'!H:H)</f>
        <v>219</v>
      </c>
      <c r="O36" s="12">
        <f>RANK(Tabell46[[#This Row],[ÅLDER]],I:I)</f>
        <v>12</v>
      </c>
      <c r="P36" s="21">
        <f>Tabell46[[#This Row],[MÅL]]/Tabell46[[#This Row],[MAT]]</f>
        <v>4.4999999999999998E-2</v>
      </c>
      <c r="Q36" s="12">
        <f>_xlfn.XLOOKUP(Tabell46[[#This Row],[Namn]],V:V,W:W)</f>
        <v>0</v>
      </c>
      <c r="R36" s="12">
        <f>_xlfn.XLOOKUP(Tabell46[[#This Row],[Namn]],V:V,X:X)</f>
        <v>1</v>
      </c>
      <c r="S36" s="12">
        <f>_xlfn.XLOOKUP(Tabell46[[#This Row],[Namn]],V:V,Y:Y)</f>
        <v>0</v>
      </c>
      <c r="T36" s="12">
        <f>_xlfn.XLOOKUP(Tabell46[[#This Row],[Namn]],V:V,Z:Z)</f>
        <v>8</v>
      </c>
      <c r="V36" s="3" t="s">
        <v>85</v>
      </c>
      <c r="W36" s="152"/>
      <c r="X36" s="152">
        <v>9</v>
      </c>
      <c r="Y36" s="152"/>
      <c r="Z36" s="152"/>
      <c r="AA36" s="152">
        <v>9</v>
      </c>
      <c r="AB36"/>
      <c r="AC36" s="3" t="s">
        <v>85</v>
      </c>
      <c r="AD36" s="152"/>
      <c r="AE36" s="152"/>
      <c r="AF36" s="152"/>
      <c r="AG36" s="152"/>
      <c r="AH36" s="152"/>
      <c r="AI36" s="152"/>
      <c r="AJ36" s="152"/>
      <c r="AK36" s="152"/>
      <c r="AL36" s="152">
        <v>5</v>
      </c>
      <c r="AM36" s="152"/>
      <c r="AN36" s="152"/>
      <c r="AO36" s="152"/>
      <c r="AP36" s="152">
        <v>4</v>
      </c>
      <c r="AQ36" s="152"/>
      <c r="AR36" s="152"/>
      <c r="AS36" s="152"/>
      <c r="AT36" s="152"/>
      <c r="AU36" s="151">
        <v>9</v>
      </c>
      <c r="AW36" s="3" t="s">
        <v>85</v>
      </c>
      <c r="AX36" s="151"/>
      <c r="AY36" s="151"/>
      <c r="AZ36" s="151"/>
      <c r="BA36" s="151"/>
      <c r="BB36" s="151"/>
      <c r="BC36" s="151">
        <v>5</v>
      </c>
      <c r="BD36" s="151"/>
      <c r="BE36" s="151"/>
      <c r="BF36" s="151"/>
      <c r="BG36" s="151">
        <v>4</v>
      </c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>
        <v>9</v>
      </c>
    </row>
    <row r="37" spans="1:81" x14ac:dyDescent="0.25">
      <c r="A37" s="15">
        <f>Tabell46[[#This Row],[RANK MÅL]]</f>
        <v>25</v>
      </c>
      <c r="B37" s="11" t="s">
        <v>82</v>
      </c>
      <c r="C37" s="12">
        <f>SUMIF('ALLA ÅR'!B:B,Tabell46[[#This Row],[Namn]],'ALLA ÅR'!C:C)</f>
        <v>89</v>
      </c>
      <c r="D37" s="12">
        <f>SUMIF('ALLA ÅR'!B:B,Tabell46[[#This Row],[Namn]],'ALLA ÅR'!E:E)</f>
        <v>4</v>
      </c>
      <c r="E37" s="12">
        <f>SUMIF('ALLA ÅR'!B:B,Tabell46[[#This Row],[Namn]],'ALLA ÅR'!F:F)</f>
        <v>0</v>
      </c>
      <c r="F37" s="12">
        <f>SUMIF('ALLA ÅR'!B:B,Tabell46[[#This Row],[Namn]],'ALLA ÅR'!G:G)</f>
        <v>9</v>
      </c>
      <c r="G37" s="12">
        <f>VLOOKUP(Tabell46[[#This Row],[Namn]],'ALLA ÅR'!B:J,9,0)</f>
        <v>2022</v>
      </c>
      <c r="H37" s="12">
        <f>COUNTIF('ALLA ÅR'!B:B,Tabell46[[#This Row],[Namn]])</f>
        <v>5</v>
      </c>
      <c r="I37" s="12">
        <f>VLOOKUP(Tabell46[[#This Row],[Namn]],'ALLA ÅR'!B:L,11,0)</f>
        <v>27</v>
      </c>
      <c r="J37" s="12">
        <f>RANK(Tabell46[[#This Row],[MÅL]],F:F)</f>
        <v>25</v>
      </c>
      <c r="K37" s="12">
        <f>RANK(Tabell46[[#This Row],[VAR]],D:D)</f>
        <v>5</v>
      </c>
      <c r="L37" s="12">
        <f>RANK(Tabell46[[#This Row],[MAT]],C:C)</f>
        <v>8</v>
      </c>
      <c r="M37" s="14">
        <f>Tabell46[[#This Row],[MAT]]/Tabell46[[#This Row],[ANTAL MATCHER]]</f>
        <v>0.94680851063829785</v>
      </c>
      <c r="N37" s="12">
        <f>SUMIF('ALLA ÅR'!B:B,Tabell46[[#This Row],[Namn]],'ALLA ÅR'!H:H)</f>
        <v>94</v>
      </c>
      <c r="O37" s="12">
        <f>RANK(Tabell46[[#This Row],[ÅLDER]],I:I)</f>
        <v>12</v>
      </c>
      <c r="P37" s="21">
        <f>Tabell46[[#This Row],[MÅL]]/Tabell46[[#This Row],[MAT]]</f>
        <v>0.10112359550561797</v>
      </c>
      <c r="Q37" s="12">
        <f>_xlfn.XLOOKUP(Tabell46[[#This Row],[Namn]],V:V,W:W)</f>
        <v>0</v>
      </c>
      <c r="R37" s="12">
        <f>_xlfn.XLOOKUP(Tabell46[[#This Row],[Namn]],V:V,X:X)</f>
        <v>9</v>
      </c>
      <c r="S37" s="12">
        <f>_xlfn.XLOOKUP(Tabell46[[#This Row],[Namn]],V:V,Y:Y)</f>
        <v>0</v>
      </c>
      <c r="T37" s="12">
        <f>_xlfn.XLOOKUP(Tabell46[[#This Row],[Namn]],V:V,Z:Z)</f>
        <v>0</v>
      </c>
      <c r="V37" s="3" t="s">
        <v>74</v>
      </c>
      <c r="W37" s="152">
        <v>0</v>
      </c>
      <c r="X37" s="152">
        <v>1</v>
      </c>
      <c r="Y37" s="152">
        <v>0</v>
      </c>
      <c r="Z37" s="152">
        <v>8</v>
      </c>
      <c r="AA37" s="152">
        <v>9</v>
      </c>
      <c r="AB37"/>
      <c r="AC37" s="3" t="s">
        <v>169</v>
      </c>
      <c r="AD37" s="152"/>
      <c r="AE37" s="152"/>
      <c r="AF37" s="152">
        <v>2</v>
      </c>
      <c r="AG37" s="152">
        <v>1</v>
      </c>
      <c r="AH37" s="152">
        <v>6</v>
      </c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1">
        <v>9</v>
      </c>
      <c r="AW37" s="3" t="s">
        <v>169</v>
      </c>
      <c r="AX37" s="151"/>
      <c r="AY37" s="151"/>
      <c r="AZ37" s="151"/>
      <c r="BA37" s="151">
        <v>2</v>
      </c>
      <c r="BB37" s="151">
        <v>1</v>
      </c>
      <c r="BC37" s="151">
        <v>6</v>
      </c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>
        <v>9</v>
      </c>
    </row>
    <row r="38" spans="1:81" x14ac:dyDescent="0.25">
      <c r="A38" s="13">
        <f>Tabell46[[#This Row],[RANK MÅL]]</f>
        <v>25</v>
      </c>
      <c r="B38" s="11" t="s">
        <v>85</v>
      </c>
      <c r="C38" s="12">
        <f>SUMIF('ALLA ÅR'!B:B,Tabell46[[#This Row],[Namn]],'ALLA ÅR'!C:C)</f>
        <v>19</v>
      </c>
      <c r="D38" s="12">
        <f>SUMIF('ALLA ÅR'!B:B,Tabell46[[#This Row],[Namn]],'ALLA ÅR'!E:E)</f>
        <v>1</v>
      </c>
      <c r="E38" s="12">
        <f>SUMIF('ALLA ÅR'!B:B,Tabell46[[#This Row],[Namn]],'ALLA ÅR'!F:F)</f>
        <v>0</v>
      </c>
      <c r="F38" s="12">
        <f>SUMIF('ALLA ÅR'!B:B,Tabell46[[#This Row],[Namn]],'ALLA ÅR'!G:G)</f>
        <v>9</v>
      </c>
      <c r="G38" s="12">
        <f>VLOOKUP(Tabell46[[#This Row],[Namn]],'ALLA ÅR'!B:J,9,0)</f>
        <v>2022</v>
      </c>
      <c r="H38" s="12">
        <f>COUNTIF('ALLA ÅR'!B:B,Tabell46[[#This Row],[Namn]])</f>
        <v>2</v>
      </c>
      <c r="I38" s="12">
        <f>VLOOKUP(Tabell46[[#This Row],[Namn]],'ALLA ÅR'!B:L,11,0)</f>
        <v>22</v>
      </c>
      <c r="J38" s="12">
        <f>RANK(Tabell46[[#This Row],[MÅL]],F:F)</f>
        <v>25</v>
      </c>
      <c r="K38" s="12">
        <f>RANK(Tabell46[[#This Row],[VAR]],D:D)</f>
        <v>25</v>
      </c>
      <c r="L38" s="12">
        <f>RANK(Tabell46[[#This Row],[MAT]],C:C)</f>
        <v>63</v>
      </c>
      <c r="M38" s="14">
        <f>Tabell46[[#This Row],[MAT]]/Tabell46[[#This Row],[ANTAL MATCHER]]</f>
        <v>0.40425531914893614</v>
      </c>
      <c r="N38" s="12">
        <f>SUMIF('ALLA ÅR'!B:B,Tabell46[[#This Row],[Namn]],'ALLA ÅR'!H:H)</f>
        <v>47</v>
      </c>
      <c r="O38" s="12">
        <f>RANK(Tabell46[[#This Row],[ÅLDER]],I:I)</f>
        <v>36</v>
      </c>
      <c r="P38" s="21">
        <f>Tabell46[[#This Row],[MÅL]]/Tabell46[[#This Row],[MAT]]</f>
        <v>0.47368421052631576</v>
      </c>
      <c r="Q38" s="12">
        <f>_xlfn.XLOOKUP(Tabell46[[#This Row],[Namn]],V:V,W:W)</f>
        <v>0</v>
      </c>
      <c r="R38" s="12">
        <f>_xlfn.XLOOKUP(Tabell46[[#This Row],[Namn]],V:V,X:X)</f>
        <v>9</v>
      </c>
      <c r="S38" s="12">
        <f>_xlfn.XLOOKUP(Tabell46[[#This Row],[Namn]],V:V,Y:Y)</f>
        <v>0</v>
      </c>
      <c r="T38" s="12">
        <f>_xlfn.XLOOKUP(Tabell46[[#This Row],[Namn]],V:V,Z:Z)</f>
        <v>0</v>
      </c>
      <c r="V38" s="3" t="s">
        <v>169</v>
      </c>
      <c r="W38" s="152"/>
      <c r="X38" s="152"/>
      <c r="Y38" s="152"/>
      <c r="Z38" s="152">
        <v>9</v>
      </c>
      <c r="AA38" s="152">
        <v>9</v>
      </c>
      <c r="AB38"/>
      <c r="AC38" s="3" t="s">
        <v>82</v>
      </c>
      <c r="AD38" s="152"/>
      <c r="AE38" s="152"/>
      <c r="AF38" s="152"/>
      <c r="AG38" s="152"/>
      <c r="AH38" s="152"/>
      <c r="AI38" s="152"/>
      <c r="AJ38" s="152"/>
      <c r="AK38" s="152"/>
      <c r="AL38" s="152">
        <v>3</v>
      </c>
      <c r="AM38" s="152">
        <v>1</v>
      </c>
      <c r="AN38" s="152">
        <v>0</v>
      </c>
      <c r="AO38" s="152">
        <v>1</v>
      </c>
      <c r="AP38" s="152">
        <v>4</v>
      </c>
      <c r="AQ38" s="152"/>
      <c r="AR38" s="152"/>
      <c r="AS38" s="152"/>
      <c r="AT38" s="152"/>
      <c r="AU38" s="151">
        <v>9</v>
      </c>
      <c r="AW38" s="3" t="s">
        <v>82</v>
      </c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>
        <v>3</v>
      </c>
      <c r="BI38" s="151">
        <v>1</v>
      </c>
      <c r="BJ38" s="151">
        <v>0</v>
      </c>
      <c r="BK38" s="151">
        <v>1</v>
      </c>
      <c r="BL38" s="151">
        <v>4</v>
      </c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>
        <v>9</v>
      </c>
    </row>
    <row r="39" spans="1:81" x14ac:dyDescent="0.25">
      <c r="A39" s="15">
        <f>Tabell46[[#This Row],[RANK MÅL]]</f>
        <v>25</v>
      </c>
      <c r="B39" s="11" t="s">
        <v>93</v>
      </c>
      <c r="C39" s="12">
        <f>SUMIF('ALLA ÅR'!B:B,Tabell46[[#This Row],[Namn]],'ALLA ÅR'!C:C)</f>
        <v>9</v>
      </c>
      <c r="D39" s="12">
        <f>SUMIF('ALLA ÅR'!B:B,Tabell46[[#This Row],[Namn]],'ALLA ÅR'!E:E)</f>
        <v>0</v>
      </c>
      <c r="E39" s="12">
        <f>SUMIF('ALLA ÅR'!B:B,Tabell46[[#This Row],[Namn]],'ALLA ÅR'!F:F)</f>
        <v>0</v>
      </c>
      <c r="F39" s="12">
        <f>SUMIF('ALLA ÅR'!B:B,Tabell46[[#This Row],[Namn]],'ALLA ÅR'!G:G)</f>
        <v>9</v>
      </c>
      <c r="G39" s="12">
        <f>VLOOKUP(Tabell46[[#This Row],[Namn]],'ALLA ÅR'!B:J,9,0)</f>
        <v>2021</v>
      </c>
      <c r="H39" s="12">
        <f>COUNTIF('ALLA ÅR'!B:B,Tabell46[[#This Row],[Namn]])</f>
        <v>1</v>
      </c>
      <c r="I39" s="12">
        <f>VLOOKUP(Tabell46[[#This Row],[Namn]],'ALLA ÅR'!B:L,11,0)</f>
        <v>20</v>
      </c>
      <c r="J39" s="12">
        <f>RANK(Tabell46[[#This Row],[MÅL]],F:F)</f>
        <v>25</v>
      </c>
      <c r="K39" s="12">
        <f>RANK(Tabell46[[#This Row],[VAR]],D:D)</f>
        <v>44</v>
      </c>
      <c r="L39" s="12">
        <f>RANK(Tabell46[[#This Row],[MAT]],C:C)</f>
        <v>81</v>
      </c>
      <c r="M39" s="14">
        <f>Tabell46[[#This Row],[MAT]]/Tabell46[[#This Row],[ANTAL MATCHER]]</f>
        <v>0.81818181818181823</v>
      </c>
      <c r="N39" s="12">
        <f>SUMIF('ALLA ÅR'!B:B,Tabell46[[#This Row],[Namn]],'ALLA ÅR'!H:H)</f>
        <v>11</v>
      </c>
      <c r="O39" s="12">
        <f>RANK(Tabell46[[#This Row],[ÅLDER]],I:I)</f>
        <v>50</v>
      </c>
      <c r="P39" s="21">
        <f>Tabell46[[#This Row],[MÅL]]/Tabell46[[#This Row],[MAT]]</f>
        <v>1</v>
      </c>
      <c r="Q39" s="12">
        <f>_xlfn.XLOOKUP(Tabell46[[#This Row],[Namn]],V:V,W:W)</f>
        <v>0</v>
      </c>
      <c r="R39" s="12">
        <f>_xlfn.XLOOKUP(Tabell46[[#This Row],[Namn]],V:V,X:X)</f>
        <v>9</v>
      </c>
      <c r="S39" s="12">
        <f>_xlfn.XLOOKUP(Tabell46[[#This Row],[Namn]],V:V,Y:Y)</f>
        <v>0</v>
      </c>
      <c r="T39" s="12">
        <f>_xlfn.XLOOKUP(Tabell46[[#This Row],[Namn]],V:V,Z:Z)</f>
        <v>0</v>
      </c>
      <c r="V39" s="3" t="s">
        <v>82</v>
      </c>
      <c r="W39" s="152">
        <v>0</v>
      </c>
      <c r="X39" s="152">
        <v>9</v>
      </c>
      <c r="Y39" s="152"/>
      <c r="Z39" s="152"/>
      <c r="AA39" s="152">
        <v>9</v>
      </c>
      <c r="AB39"/>
      <c r="AC39" s="3" t="s">
        <v>74</v>
      </c>
      <c r="AD39" s="152"/>
      <c r="AE39" s="152"/>
      <c r="AF39" s="152">
        <v>0</v>
      </c>
      <c r="AG39" s="152">
        <v>0</v>
      </c>
      <c r="AH39" s="152">
        <v>0</v>
      </c>
      <c r="AI39" s="152">
        <v>7</v>
      </c>
      <c r="AJ39" s="152">
        <v>1</v>
      </c>
      <c r="AK39" s="152">
        <v>0</v>
      </c>
      <c r="AL39" s="152">
        <v>0</v>
      </c>
      <c r="AM39" s="152">
        <v>0</v>
      </c>
      <c r="AN39" s="152">
        <v>0</v>
      </c>
      <c r="AO39" s="152">
        <v>0</v>
      </c>
      <c r="AP39" s="152">
        <v>1</v>
      </c>
      <c r="AQ39" s="152">
        <v>0</v>
      </c>
      <c r="AR39" s="152"/>
      <c r="AS39" s="152"/>
      <c r="AT39" s="152"/>
      <c r="AU39" s="151">
        <v>9</v>
      </c>
      <c r="AW39" s="3" t="s">
        <v>74</v>
      </c>
      <c r="AX39" s="151"/>
      <c r="AY39" s="151"/>
      <c r="AZ39" s="151"/>
      <c r="BA39" s="151">
        <v>0</v>
      </c>
      <c r="BB39" s="151">
        <v>0</v>
      </c>
      <c r="BC39" s="151">
        <v>0</v>
      </c>
      <c r="BD39" s="151">
        <v>7</v>
      </c>
      <c r="BE39" s="151">
        <v>1</v>
      </c>
      <c r="BF39" s="151">
        <v>0</v>
      </c>
      <c r="BG39" s="151">
        <v>0</v>
      </c>
      <c r="BH39" s="151">
        <v>0</v>
      </c>
      <c r="BI39" s="151">
        <v>0</v>
      </c>
      <c r="BJ39" s="151">
        <v>0</v>
      </c>
      <c r="BK39" s="151">
        <v>1</v>
      </c>
      <c r="BL39" s="151">
        <v>0</v>
      </c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>
        <v>9</v>
      </c>
    </row>
    <row r="40" spans="1:81" x14ac:dyDescent="0.25">
      <c r="A40" s="13">
        <f>Tabell46[[#This Row],[RANK MÅL]]</f>
        <v>25</v>
      </c>
      <c r="B40" s="11" t="s">
        <v>169</v>
      </c>
      <c r="C40" s="12">
        <f>SUMIF('ALLA ÅR'!B:B,Tabell46[[#This Row],[Namn]],'ALLA ÅR'!C:C)</f>
        <v>28</v>
      </c>
      <c r="D40" s="12">
        <f>SUMIF('ALLA ÅR'!B:B,Tabell46[[#This Row],[Namn]],'ALLA ÅR'!E:E)</f>
        <v>0</v>
      </c>
      <c r="E40" s="12">
        <f>SUMIF('ALLA ÅR'!B:B,Tabell46[[#This Row],[Namn]],'ALLA ÅR'!F:F)</f>
        <v>0</v>
      </c>
      <c r="F40" s="12">
        <f>SUMIF('ALLA ÅR'!B:B,Tabell46[[#This Row],[Namn]],'ALLA ÅR'!G:G)</f>
        <v>9</v>
      </c>
      <c r="G40" s="12">
        <f>VLOOKUP(Tabell46[[#This Row],[Namn]],'ALLA ÅR'!B:J,9,0)</f>
        <v>2014</v>
      </c>
      <c r="H40" s="12">
        <f>COUNTIF('ALLA ÅR'!B:B,Tabell46[[#This Row],[Namn]])</f>
        <v>3</v>
      </c>
      <c r="I40" s="12">
        <f>VLOOKUP(Tabell46[[#This Row],[Namn]],'ALLA ÅR'!B:L,11,0)</f>
        <v>18</v>
      </c>
      <c r="J40" s="12">
        <f>RANK(Tabell46[[#This Row],[MÅL]],F:F)</f>
        <v>25</v>
      </c>
      <c r="K40" s="12">
        <f>RANK(Tabell46[[#This Row],[VAR]],D:D)</f>
        <v>44</v>
      </c>
      <c r="L40" s="12">
        <f>RANK(Tabell46[[#This Row],[MAT]],C:C)</f>
        <v>43</v>
      </c>
      <c r="M40" s="14">
        <f>Tabell46[[#This Row],[MAT]]/Tabell46[[#This Row],[ANTAL MATCHER]]</f>
        <v>0.58333333333333337</v>
      </c>
      <c r="N40" s="12">
        <f>SUMIF('ALLA ÅR'!B:B,Tabell46[[#This Row],[Namn]],'ALLA ÅR'!H:H)</f>
        <v>48</v>
      </c>
      <c r="O40" s="12">
        <f>RANK(Tabell46[[#This Row],[ÅLDER]],I:I)</f>
        <v>72</v>
      </c>
      <c r="P40" s="21">
        <f>Tabell46[[#This Row],[MÅL]]/Tabell46[[#This Row],[MAT]]</f>
        <v>0.32142857142857145</v>
      </c>
      <c r="Q40" s="12">
        <f>_xlfn.XLOOKUP(Tabell46[[#This Row],[Namn]],V:V,W:W)</f>
        <v>0</v>
      </c>
      <c r="R40" s="12">
        <f>_xlfn.XLOOKUP(Tabell46[[#This Row],[Namn]],V:V,X:X)</f>
        <v>0</v>
      </c>
      <c r="S40" s="12">
        <f>_xlfn.XLOOKUP(Tabell46[[#This Row],[Namn]],V:V,Y:Y)</f>
        <v>0</v>
      </c>
      <c r="T40" s="12">
        <f>_xlfn.XLOOKUP(Tabell46[[#This Row],[Namn]],V:V,Z:Z)</f>
        <v>9</v>
      </c>
      <c r="V40" s="3" t="s">
        <v>93</v>
      </c>
      <c r="W40" s="152"/>
      <c r="X40" s="152">
        <v>9</v>
      </c>
      <c r="Y40" s="152"/>
      <c r="Z40" s="152"/>
      <c r="AA40" s="152">
        <v>9</v>
      </c>
      <c r="AB40"/>
      <c r="AC40" s="3" t="s">
        <v>93</v>
      </c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>
        <v>9</v>
      </c>
      <c r="AP40" s="152"/>
      <c r="AQ40" s="152"/>
      <c r="AR40" s="152"/>
      <c r="AS40" s="152"/>
      <c r="AT40" s="152"/>
      <c r="AU40" s="151">
        <v>9</v>
      </c>
      <c r="AW40" s="3" t="s">
        <v>93</v>
      </c>
      <c r="AX40" s="151"/>
      <c r="AY40" s="151"/>
      <c r="AZ40" s="151"/>
      <c r="BA40" s="151"/>
      <c r="BB40" s="151"/>
      <c r="BC40" s="151"/>
      <c r="BD40" s="151"/>
      <c r="BE40" s="151">
        <v>9</v>
      </c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1"/>
      <c r="BQ40" s="151"/>
      <c r="BR40" s="151"/>
      <c r="BS40" s="151"/>
      <c r="BT40" s="151"/>
      <c r="BU40" s="151"/>
      <c r="BV40" s="151"/>
      <c r="BW40" s="151"/>
      <c r="BX40" s="151"/>
      <c r="BY40" s="151"/>
      <c r="BZ40" s="151"/>
      <c r="CA40" s="151"/>
      <c r="CB40" s="151"/>
      <c r="CC40" s="151">
        <v>9</v>
      </c>
    </row>
    <row r="41" spans="1:81" x14ac:dyDescent="0.25">
      <c r="A41" s="15">
        <f>Tabell46[[#This Row],[RANK MÅL]]</f>
        <v>30</v>
      </c>
      <c r="B41" s="11" t="s">
        <v>106</v>
      </c>
      <c r="C41" s="12">
        <f>SUMIF('ALLA ÅR'!B:B,Tabell46[[#This Row],[Namn]],'ALLA ÅR'!C:C)</f>
        <v>19</v>
      </c>
      <c r="D41" s="12">
        <f>SUMIF('ALLA ÅR'!B:B,Tabell46[[#This Row],[Namn]],'ALLA ÅR'!E:E)</f>
        <v>0</v>
      </c>
      <c r="E41" s="12">
        <f>SUMIF('ALLA ÅR'!B:B,Tabell46[[#This Row],[Namn]],'ALLA ÅR'!F:F)</f>
        <v>0</v>
      </c>
      <c r="F41" s="12">
        <f>SUMIF('ALLA ÅR'!B:B,Tabell46[[#This Row],[Namn]],'ALLA ÅR'!G:G)</f>
        <v>8</v>
      </c>
      <c r="G41" s="12">
        <f>VLOOKUP(Tabell46[[#This Row],[Namn]],'ALLA ÅR'!B:J,9,0)</f>
        <v>2019</v>
      </c>
      <c r="H41" s="12">
        <f>COUNTIF('ALLA ÅR'!B:B,Tabell46[[#This Row],[Namn]])</f>
        <v>1</v>
      </c>
      <c r="I41" s="12">
        <f>VLOOKUP(Tabell46[[#This Row],[Namn]],'ALLA ÅR'!B:L,11,0)</f>
        <v>21</v>
      </c>
      <c r="J41" s="12">
        <f>RANK(Tabell46[[#This Row],[MÅL]],F:F)</f>
        <v>30</v>
      </c>
      <c r="K41" s="12">
        <f>RANK(Tabell46[[#This Row],[VAR]],D:D)</f>
        <v>44</v>
      </c>
      <c r="L41" s="12">
        <f>RANK(Tabell46[[#This Row],[MAT]],C:C)</f>
        <v>63</v>
      </c>
      <c r="M41" s="14">
        <f>Tabell46[[#This Row],[MAT]]/Tabell46[[#This Row],[ANTAL MATCHER]]</f>
        <v>0.73076923076923073</v>
      </c>
      <c r="N41" s="12">
        <f>SUMIF('ALLA ÅR'!B:B,Tabell46[[#This Row],[Namn]],'ALLA ÅR'!H:H)</f>
        <v>26</v>
      </c>
      <c r="O41" s="12">
        <f>RANK(Tabell46[[#This Row],[ÅLDER]],I:I)</f>
        <v>42</v>
      </c>
      <c r="P41" s="21">
        <f>Tabell46[[#This Row],[MÅL]]/Tabell46[[#This Row],[MAT]]</f>
        <v>0.42105263157894735</v>
      </c>
      <c r="Q41" s="12">
        <f>_xlfn.XLOOKUP(Tabell46[[#This Row],[Namn]],V:V,W:W)</f>
        <v>0</v>
      </c>
      <c r="R41" s="12">
        <f>_xlfn.XLOOKUP(Tabell46[[#This Row],[Namn]],V:V,X:X)</f>
        <v>8</v>
      </c>
      <c r="S41" s="12">
        <f>_xlfn.XLOOKUP(Tabell46[[#This Row],[Namn]],V:V,Y:Y)</f>
        <v>0</v>
      </c>
      <c r="T41" s="12">
        <f>_xlfn.XLOOKUP(Tabell46[[#This Row],[Namn]],V:V,Z:Z)</f>
        <v>0</v>
      </c>
      <c r="V41" s="3" t="s">
        <v>106</v>
      </c>
      <c r="W41" s="152"/>
      <c r="X41" s="152">
        <v>8</v>
      </c>
      <c r="Y41" s="152"/>
      <c r="Z41" s="152"/>
      <c r="AA41" s="152">
        <v>8</v>
      </c>
      <c r="AB41"/>
      <c r="AC41" s="3" t="s">
        <v>106</v>
      </c>
      <c r="AD41" s="152"/>
      <c r="AE41" s="152"/>
      <c r="AF41" s="152"/>
      <c r="AG41" s="152"/>
      <c r="AH41" s="152"/>
      <c r="AI41" s="152"/>
      <c r="AJ41" s="152"/>
      <c r="AK41" s="152"/>
      <c r="AL41" s="152"/>
      <c r="AM41" s="152">
        <v>8</v>
      </c>
      <c r="AN41" s="152"/>
      <c r="AO41" s="152"/>
      <c r="AP41" s="152"/>
      <c r="AQ41" s="152"/>
      <c r="AR41" s="152"/>
      <c r="AS41" s="152"/>
      <c r="AT41" s="152"/>
      <c r="AU41" s="151">
        <v>8</v>
      </c>
      <c r="AW41" s="3" t="s">
        <v>106</v>
      </c>
      <c r="AX41" s="151"/>
      <c r="AY41" s="151"/>
      <c r="AZ41" s="151"/>
      <c r="BA41" s="151"/>
      <c r="BB41" s="151"/>
      <c r="BC41" s="151"/>
      <c r="BD41" s="151"/>
      <c r="BE41" s="151"/>
      <c r="BF41" s="151">
        <v>8</v>
      </c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>
        <v>8</v>
      </c>
    </row>
    <row r="42" spans="1:81" x14ac:dyDescent="0.25">
      <c r="A42" s="13">
        <f>Tabell46[[#This Row],[RANK MÅL]]</f>
        <v>31</v>
      </c>
      <c r="B42" s="11" t="s">
        <v>32</v>
      </c>
      <c r="C42" s="12">
        <f>SUMIF('ALLA ÅR'!B:B,Tabell46[[#This Row],[Namn]],'ALLA ÅR'!C:C)</f>
        <v>29</v>
      </c>
      <c r="D42" s="12">
        <f>SUMIF('ALLA ÅR'!B:B,Tabell46[[#This Row],[Namn]],'ALLA ÅR'!E:E)</f>
        <v>12</v>
      </c>
      <c r="E42" s="12">
        <f>SUMIF('ALLA ÅR'!B:B,Tabell46[[#This Row],[Namn]],'ALLA ÅR'!F:F)</f>
        <v>0</v>
      </c>
      <c r="F42" s="12">
        <f>SUMIF('ALLA ÅR'!B:B,Tabell46[[#This Row],[Namn]],'ALLA ÅR'!G:G)</f>
        <v>6</v>
      </c>
      <c r="G42" s="12">
        <f>VLOOKUP(Tabell46[[#This Row],[Namn]],'ALLA ÅR'!B:J,9,0)</f>
        <v>2026</v>
      </c>
      <c r="H42" s="12">
        <f>COUNTIF('ALLA ÅR'!B:B,Tabell46[[#This Row],[Namn]])</f>
        <v>2</v>
      </c>
      <c r="I42" s="12">
        <f>VLOOKUP(Tabell46[[#This Row],[Namn]],'ALLA ÅR'!B:L,11,0)</f>
        <v>23</v>
      </c>
      <c r="J42" s="12">
        <f>RANK(Tabell46[[#This Row],[MÅL]],F:F)</f>
        <v>31</v>
      </c>
      <c r="K42" s="12">
        <f>RANK(Tabell46[[#This Row],[VAR]],D:D)</f>
        <v>1</v>
      </c>
      <c r="L42" s="12">
        <f>RANK(Tabell46[[#This Row],[MAT]],C:C)</f>
        <v>41</v>
      </c>
      <c r="M42" s="14">
        <f>Tabell46[[#This Row],[MAT]]/Tabell46[[#This Row],[ANTAL MATCHER]]</f>
        <v>0.87878787878787878</v>
      </c>
      <c r="N42" s="12">
        <f>SUMIF('ALLA ÅR'!B:B,Tabell46[[#This Row],[Namn]],'ALLA ÅR'!H:H)</f>
        <v>33</v>
      </c>
      <c r="O42" s="12">
        <f>RANK(Tabell46[[#This Row],[ÅLDER]],I:I)</f>
        <v>30</v>
      </c>
      <c r="P42" s="21">
        <f>Tabell46[[#This Row],[MÅL]]/Tabell46[[#This Row],[MAT]]</f>
        <v>0.20689655172413793</v>
      </c>
      <c r="Q42" s="12">
        <f>_xlfn.XLOOKUP(Tabell46[[#This Row],[Namn]],V:V,W:W)</f>
        <v>0</v>
      </c>
      <c r="R42" s="12">
        <f>_xlfn.XLOOKUP(Tabell46[[#This Row],[Namn]],V:V,X:X)</f>
        <v>5</v>
      </c>
      <c r="S42" s="12">
        <f>_xlfn.XLOOKUP(Tabell46[[#This Row],[Namn]],V:V,Y:Y)</f>
        <v>0</v>
      </c>
      <c r="T42" s="12">
        <f>_xlfn.XLOOKUP(Tabell46[[#This Row],[Namn]],V:V,Z:Z)</f>
        <v>1</v>
      </c>
      <c r="V42" s="3" t="s">
        <v>120</v>
      </c>
      <c r="W42" s="152"/>
      <c r="X42" s="152"/>
      <c r="Y42" s="152">
        <v>1</v>
      </c>
      <c r="Z42" s="152">
        <v>5</v>
      </c>
      <c r="AA42" s="152">
        <v>6</v>
      </c>
      <c r="AB42"/>
      <c r="AC42" s="3" t="s">
        <v>32</v>
      </c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>
        <v>5</v>
      </c>
      <c r="AS42" s="152"/>
      <c r="AT42" s="152">
        <v>1</v>
      </c>
      <c r="AU42" s="151">
        <v>6</v>
      </c>
      <c r="AW42" s="3" t="s">
        <v>32</v>
      </c>
      <c r="AX42" s="151"/>
      <c r="AY42" s="151"/>
      <c r="AZ42" s="151"/>
      <c r="BA42" s="151"/>
      <c r="BB42" s="151"/>
      <c r="BC42" s="151"/>
      <c r="BD42" s="151"/>
      <c r="BE42" s="151"/>
      <c r="BF42" s="151">
        <v>5</v>
      </c>
      <c r="BG42" s="151"/>
      <c r="BH42" s="151">
        <v>1</v>
      </c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>
        <v>6</v>
      </c>
    </row>
    <row r="43" spans="1:81" x14ac:dyDescent="0.25">
      <c r="A43" s="15">
        <f>Tabell46[[#This Row],[RANK MÅL]]</f>
        <v>31</v>
      </c>
      <c r="B43" s="11" t="s">
        <v>59</v>
      </c>
      <c r="C43" s="12">
        <f>SUMIF('ALLA ÅR'!B:B,Tabell46[[#This Row],[Namn]],'ALLA ÅR'!C:C)</f>
        <v>119</v>
      </c>
      <c r="D43" s="12">
        <f>SUMIF('ALLA ÅR'!B:B,Tabell46[[#This Row],[Namn]],'ALLA ÅR'!E:E)</f>
        <v>3</v>
      </c>
      <c r="E43" s="12">
        <f>SUMIF('ALLA ÅR'!B:B,Tabell46[[#This Row],[Namn]],'ALLA ÅR'!F:F)</f>
        <v>1</v>
      </c>
      <c r="F43" s="12">
        <f>SUMIF('ALLA ÅR'!B:B,Tabell46[[#This Row],[Namn]],'ALLA ÅR'!G:G)</f>
        <v>6</v>
      </c>
      <c r="G43" s="12">
        <f>VLOOKUP(Tabell46[[#This Row],[Namn]],'ALLA ÅR'!B:J,9,0)</f>
        <v>2024</v>
      </c>
      <c r="H43" s="12">
        <f>COUNTIF('ALLA ÅR'!B:B,Tabell46[[#This Row],[Namn]])</f>
        <v>6</v>
      </c>
      <c r="I43" s="12">
        <f>VLOOKUP(Tabell46[[#This Row],[Namn]],'ALLA ÅR'!B:L,11,0)</f>
        <v>35</v>
      </c>
      <c r="J43" s="12">
        <f>RANK(Tabell46[[#This Row],[MÅL]],F:F)</f>
        <v>31</v>
      </c>
      <c r="K43" s="12">
        <f>RANK(Tabell46[[#This Row],[VAR]],D:D)</f>
        <v>10</v>
      </c>
      <c r="L43" s="12">
        <f>RANK(Tabell46[[#This Row],[MAT]],C:C)</f>
        <v>5</v>
      </c>
      <c r="M43" s="14">
        <f>Tabell46[[#This Row],[MAT]]/Tabell46[[#This Row],[ANTAL MATCHER]]</f>
        <v>0.88805970149253732</v>
      </c>
      <c r="N43" s="12">
        <f>SUMIF('ALLA ÅR'!B:B,Tabell46[[#This Row],[Namn]],'ALLA ÅR'!H:H)</f>
        <v>134</v>
      </c>
      <c r="O43" s="12">
        <f>RANK(Tabell46[[#This Row],[ÅLDER]],I:I)</f>
        <v>2</v>
      </c>
      <c r="P43" s="21">
        <f>Tabell46[[#This Row],[MÅL]]/Tabell46[[#This Row],[MAT]]</f>
        <v>5.0420168067226892E-2</v>
      </c>
      <c r="Q43" s="12">
        <f>_xlfn.XLOOKUP(Tabell46[[#This Row],[Namn]],V:V,W:W)</f>
        <v>0</v>
      </c>
      <c r="R43" s="12">
        <f>_xlfn.XLOOKUP(Tabell46[[#This Row],[Namn]],V:V,X:X)</f>
        <v>6</v>
      </c>
      <c r="S43" s="12">
        <f>_xlfn.XLOOKUP(Tabell46[[#This Row],[Namn]],V:V,Y:Y)</f>
        <v>0</v>
      </c>
      <c r="T43" s="12">
        <f>_xlfn.XLOOKUP(Tabell46[[#This Row],[Namn]],V:V,Z:Z)</f>
        <v>0</v>
      </c>
      <c r="V43" s="3" t="s">
        <v>80</v>
      </c>
      <c r="W43" s="152">
        <v>0</v>
      </c>
      <c r="X43" s="152">
        <v>6</v>
      </c>
      <c r="Y43" s="152"/>
      <c r="Z43" s="152"/>
      <c r="AA43" s="152">
        <v>6</v>
      </c>
      <c r="AB43"/>
      <c r="AC43" s="3" t="s">
        <v>80</v>
      </c>
      <c r="AD43" s="152"/>
      <c r="AE43" s="152"/>
      <c r="AF43" s="152"/>
      <c r="AG43" s="152"/>
      <c r="AH43" s="152"/>
      <c r="AI43" s="152"/>
      <c r="AJ43" s="152"/>
      <c r="AK43" s="152"/>
      <c r="AL43" s="152"/>
      <c r="AM43" s="152">
        <v>0</v>
      </c>
      <c r="AN43" s="152">
        <v>0</v>
      </c>
      <c r="AO43" s="152">
        <v>4</v>
      </c>
      <c r="AP43" s="152">
        <v>2</v>
      </c>
      <c r="AQ43" s="152">
        <v>0</v>
      </c>
      <c r="AR43" s="152"/>
      <c r="AS43" s="152"/>
      <c r="AT43" s="152"/>
      <c r="AU43" s="151">
        <v>6</v>
      </c>
      <c r="AW43" s="3" t="s">
        <v>80</v>
      </c>
      <c r="AX43" s="151"/>
      <c r="AY43" s="151"/>
      <c r="AZ43" s="151">
        <v>0</v>
      </c>
      <c r="BA43" s="151">
        <v>0</v>
      </c>
      <c r="BB43" s="151">
        <v>4</v>
      </c>
      <c r="BC43" s="151">
        <v>2</v>
      </c>
      <c r="BD43" s="151">
        <v>0</v>
      </c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>
        <v>6</v>
      </c>
    </row>
    <row r="44" spans="1:81" x14ac:dyDescent="0.25">
      <c r="A44" s="13">
        <f>Tabell46[[#This Row],[RANK MÅL]]</f>
        <v>31</v>
      </c>
      <c r="B44" s="11" t="s">
        <v>80</v>
      </c>
      <c r="C44" s="12">
        <f>SUMIF('ALLA ÅR'!B:B,Tabell46[[#This Row],[Namn]],'ALLA ÅR'!C:C)</f>
        <v>50</v>
      </c>
      <c r="D44" s="12">
        <f>SUMIF('ALLA ÅR'!B:B,Tabell46[[#This Row],[Namn]],'ALLA ÅR'!E:E)</f>
        <v>0</v>
      </c>
      <c r="E44" s="12">
        <f>SUMIF('ALLA ÅR'!B:B,Tabell46[[#This Row],[Namn]],'ALLA ÅR'!F:F)</f>
        <v>0</v>
      </c>
      <c r="F44" s="12">
        <f>SUMIF('ALLA ÅR'!B:B,Tabell46[[#This Row],[Namn]],'ALLA ÅR'!G:G)</f>
        <v>6</v>
      </c>
      <c r="G44" s="12">
        <f>VLOOKUP(Tabell46[[#This Row],[Namn]],'ALLA ÅR'!B:J,9,0)</f>
        <v>2023</v>
      </c>
      <c r="H44" s="12">
        <f>COUNTIF('ALLA ÅR'!B:B,Tabell46[[#This Row],[Namn]])</f>
        <v>5</v>
      </c>
      <c r="I44" s="12">
        <f>VLOOKUP(Tabell46[[#This Row],[Namn]],'ALLA ÅR'!B:L,11,0)</f>
        <v>19</v>
      </c>
      <c r="J44" s="12">
        <f>RANK(Tabell46[[#This Row],[MÅL]],F:F)</f>
        <v>31</v>
      </c>
      <c r="K44" s="12">
        <f>RANK(Tabell46[[#This Row],[VAR]],D:D)</f>
        <v>44</v>
      </c>
      <c r="L44" s="12">
        <f>RANK(Tabell46[[#This Row],[MAT]],C:C)</f>
        <v>18</v>
      </c>
      <c r="M44" s="14">
        <f>Tabell46[[#This Row],[MAT]]/Tabell46[[#This Row],[ANTAL MATCHER]]</f>
        <v>0.51020408163265307</v>
      </c>
      <c r="N44" s="12">
        <f>SUMIF('ALLA ÅR'!B:B,Tabell46[[#This Row],[Namn]],'ALLA ÅR'!H:H)</f>
        <v>98</v>
      </c>
      <c r="O44" s="12">
        <f>RANK(Tabell46[[#This Row],[ÅLDER]],I:I)</f>
        <v>63</v>
      </c>
      <c r="P44" s="21">
        <f>Tabell46[[#This Row],[MÅL]]/Tabell46[[#This Row],[MAT]]</f>
        <v>0.12</v>
      </c>
      <c r="Q44" s="12">
        <f>_xlfn.XLOOKUP(Tabell46[[#This Row],[Namn]],V:V,W:W)</f>
        <v>0</v>
      </c>
      <c r="R44" s="12">
        <f>_xlfn.XLOOKUP(Tabell46[[#This Row],[Namn]],V:V,X:X)</f>
        <v>6</v>
      </c>
      <c r="S44" s="12">
        <f>_xlfn.XLOOKUP(Tabell46[[#This Row],[Namn]],V:V,Y:Y)</f>
        <v>0</v>
      </c>
      <c r="T44" s="12">
        <f>_xlfn.XLOOKUP(Tabell46[[#This Row],[Namn]],V:V,Z:Z)</f>
        <v>0</v>
      </c>
      <c r="V44" s="3" t="s">
        <v>135</v>
      </c>
      <c r="W44" s="152"/>
      <c r="X44" s="152"/>
      <c r="Y44" s="152">
        <v>0</v>
      </c>
      <c r="Z44" s="152">
        <v>6</v>
      </c>
      <c r="AA44" s="152">
        <v>6</v>
      </c>
      <c r="AB44"/>
      <c r="AC44" s="3" t="s">
        <v>134</v>
      </c>
      <c r="AD44" s="152"/>
      <c r="AE44" s="152"/>
      <c r="AF44" s="152"/>
      <c r="AG44" s="152"/>
      <c r="AH44" s="152"/>
      <c r="AI44" s="152">
        <v>3</v>
      </c>
      <c r="AJ44" s="152">
        <v>3</v>
      </c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1">
        <v>6</v>
      </c>
      <c r="AW44" s="3" t="s">
        <v>134</v>
      </c>
      <c r="AX44" s="151"/>
      <c r="AY44" s="151"/>
      <c r="AZ44" s="151">
        <v>3</v>
      </c>
      <c r="BA44" s="151">
        <v>3</v>
      </c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>
        <v>6</v>
      </c>
    </row>
    <row r="45" spans="1:81" x14ac:dyDescent="0.25">
      <c r="A45" s="15">
        <f>Tabell46[[#This Row],[RANK MÅL]]</f>
        <v>31</v>
      </c>
      <c r="B45" s="11" t="s">
        <v>120</v>
      </c>
      <c r="C45" s="12">
        <f>SUMIF('ALLA ÅR'!B:B,Tabell46[[#This Row],[Namn]],'ALLA ÅR'!C:C)</f>
        <v>13</v>
      </c>
      <c r="D45" s="12">
        <f>SUMIF('ALLA ÅR'!B:B,Tabell46[[#This Row],[Namn]],'ALLA ÅR'!E:E)</f>
        <v>0</v>
      </c>
      <c r="E45" s="12">
        <f>SUMIF('ALLA ÅR'!B:B,Tabell46[[#This Row],[Namn]],'ALLA ÅR'!F:F)</f>
        <v>0</v>
      </c>
      <c r="F45" s="12">
        <f>SUMIF('ALLA ÅR'!B:B,Tabell46[[#This Row],[Namn]],'ALLA ÅR'!G:G)</f>
        <v>6</v>
      </c>
      <c r="G45" s="12">
        <f>VLOOKUP(Tabell46[[#This Row],[Namn]],'ALLA ÅR'!B:J,9,0)</f>
        <v>2017</v>
      </c>
      <c r="H45" s="12">
        <f>COUNTIF('ALLA ÅR'!B:B,Tabell46[[#This Row],[Namn]])</f>
        <v>2</v>
      </c>
      <c r="I45" s="12">
        <f>VLOOKUP(Tabell46[[#This Row],[Namn]],'ALLA ÅR'!B:L,11,0)</f>
        <v>23</v>
      </c>
      <c r="J45" s="12">
        <f>RANK(Tabell46[[#This Row],[MÅL]],F:F)</f>
        <v>31</v>
      </c>
      <c r="K45" s="12">
        <f>RANK(Tabell46[[#This Row],[VAR]],D:D)</f>
        <v>44</v>
      </c>
      <c r="L45" s="12">
        <f>RANK(Tabell46[[#This Row],[MAT]],C:C)</f>
        <v>73</v>
      </c>
      <c r="M45" s="14">
        <f>Tabell46[[#This Row],[MAT]]/Tabell46[[#This Row],[ANTAL MATCHER]]</f>
        <v>0.40625</v>
      </c>
      <c r="N45" s="12">
        <f>SUMIF('ALLA ÅR'!B:B,Tabell46[[#This Row],[Namn]],'ALLA ÅR'!H:H)</f>
        <v>32</v>
      </c>
      <c r="O45" s="12">
        <f>RANK(Tabell46[[#This Row],[ÅLDER]],I:I)</f>
        <v>30</v>
      </c>
      <c r="P45" s="21">
        <f>Tabell46[[#This Row],[MÅL]]/Tabell46[[#This Row],[MAT]]</f>
        <v>0.46153846153846156</v>
      </c>
      <c r="Q45" s="12">
        <f>_xlfn.XLOOKUP(Tabell46[[#This Row],[Namn]],V:V,W:W)</f>
        <v>0</v>
      </c>
      <c r="R45" s="12">
        <f>_xlfn.XLOOKUP(Tabell46[[#This Row],[Namn]],V:V,X:X)</f>
        <v>0</v>
      </c>
      <c r="S45" s="12">
        <f>_xlfn.XLOOKUP(Tabell46[[#This Row],[Namn]],V:V,Y:Y)</f>
        <v>1</v>
      </c>
      <c r="T45" s="12">
        <f>_xlfn.XLOOKUP(Tabell46[[#This Row],[Namn]],V:V,Z:Z)</f>
        <v>5</v>
      </c>
      <c r="V45" s="3" t="s">
        <v>32</v>
      </c>
      <c r="W45" s="152"/>
      <c r="X45" s="152">
        <v>5</v>
      </c>
      <c r="Y45" s="152"/>
      <c r="Z45" s="152">
        <v>1</v>
      </c>
      <c r="AA45" s="152">
        <v>6</v>
      </c>
      <c r="AB45"/>
      <c r="AC45" s="3" t="s">
        <v>120</v>
      </c>
      <c r="AD45" s="152"/>
      <c r="AE45" s="152"/>
      <c r="AF45" s="152"/>
      <c r="AG45" s="152"/>
      <c r="AH45" s="152"/>
      <c r="AI45" s="152"/>
      <c r="AJ45" s="152">
        <v>5</v>
      </c>
      <c r="AK45" s="152">
        <v>1</v>
      </c>
      <c r="AL45" s="152"/>
      <c r="AM45" s="152"/>
      <c r="AN45" s="152"/>
      <c r="AO45" s="152"/>
      <c r="AP45" s="152"/>
      <c r="AQ45" s="152"/>
      <c r="AR45" s="152"/>
      <c r="AS45" s="152"/>
      <c r="AT45" s="152"/>
      <c r="AU45" s="151">
        <v>6</v>
      </c>
      <c r="AW45" s="3" t="s">
        <v>120</v>
      </c>
      <c r="AX45" s="151"/>
      <c r="AY45" s="151"/>
      <c r="AZ45" s="151"/>
      <c r="BA45" s="151"/>
      <c r="BB45" s="151"/>
      <c r="BC45" s="151"/>
      <c r="BD45" s="151"/>
      <c r="BE45" s="151"/>
      <c r="BF45" s="151"/>
      <c r="BG45" s="151">
        <v>5</v>
      </c>
      <c r="BH45" s="151">
        <v>1</v>
      </c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1"/>
      <c r="BY45" s="151"/>
      <c r="BZ45" s="151"/>
      <c r="CA45" s="151"/>
      <c r="CB45" s="151"/>
      <c r="CC45" s="151">
        <v>6</v>
      </c>
    </row>
    <row r="46" spans="1:81" x14ac:dyDescent="0.25">
      <c r="A46" s="13">
        <f>Tabell46[[#This Row],[RANK MÅL]]</f>
        <v>31</v>
      </c>
      <c r="B46" s="11" t="s">
        <v>134</v>
      </c>
      <c r="C46" s="12">
        <f>SUMIF('ALLA ÅR'!B:B,Tabell46[[#This Row],[Namn]],'ALLA ÅR'!C:C)</f>
        <v>23</v>
      </c>
      <c r="D46" s="12">
        <f>SUMIF('ALLA ÅR'!B:B,Tabell46[[#This Row],[Namn]],'ALLA ÅR'!E:E)</f>
        <v>0</v>
      </c>
      <c r="E46" s="12">
        <f>SUMIF('ALLA ÅR'!B:B,Tabell46[[#This Row],[Namn]],'ALLA ÅR'!F:F)</f>
        <v>0</v>
      </c>
      <c r="F46" s="12">
        <f>SUMIF('ALLA ÅR'!B:B,Tabell46[[#This Row],[Namn]],'ALLA ÅR'!G:G)</f>
        <v>6</v>
      </c>
      <c r="G46" s="12">
        <f>VLOOKUP(Tabell46[[#This Row],[Namn]],'ALLA ÅR'!B:J,9,0)</f>
        <v>2016</v>
      </c>
      <c r="H46" s="12">
        <f>COUNTIF('ALLA ÅR'!B:B,Tabell46[[#This Row],[Namn]])</f>
        <v>2</v>
      </c>
      <c r="I46" s="12">
        <f>VLOOKUP(Tabell46[[#This Row],[Namn]],'ALLA ÅR'!B:L,11,0)</f>
        <v>16</v>
      </c>
      <c r="J46" s="12">
        <f>RANK(Tabell46[[#This Row],[MÅL]],F:F)</f>
        <v>31</v>
      </c>
      <c r="K46" s="12">
        <f>RANK(Tabell46[[#This Row],[VAR]],D:D)</f>
        <v>44</v>
      </c>
      <c r="L46" s="12">
        <f>RANK(Tabell46[[#This Row],[MAT]],C:C)</f>
        <v>49</v>
      </c>
      <c r="M46" s="14">
        <f>Tabell46[[#This Row],[MAT]]/Tabell46[[#This Row],[ANTAL MATCHER]]</f>
        <v>0.58974358974358976</v>
      </c>
      <c r="N46" s="12">
        <f>SUMIF('ALLA ÅR'!B:B,Tabell46[[#This Row],[Namn]],'ALLA ÅR'!H:H)</f>
        <v>39</v>
      </c>
      <c r="O46" s="12">
        <f>RANK(Tabell46[[#This Row],[ÅLDER]],I:I)</f>
        <v>88</v>
      </c>
      <c r="P46" s="21">
        <f>Tabell46[[#This Row],[MÅL]]/Tabell46[[#This Row],[MAT]]</f>
        <v>0.2608695652173913</v>
      </c>
      <c r="Q46" s="12">
        <f>_xlfn.XLOOKUP(Tabell46[[#This Row],[Namn]],V:V,W:W)</f>
        <v>0</v>
      </c>
      <c r="R46" s="12">
        <f>_xlfn.XLOOKUP(Tabell46[[#This Row],[Namn]],V:V,X:X)</f>
        <v>0</v>
      </c>
      <c r="S46" s="12">
        <f>_xlfn.XLOOKUP(Tabell46[[#This Row],[Namn]],V:V,Y:Y)</f>
        <v>0</v>
      </c>
      <c r="T46" s="12">
        <f>_xlfn.XLOOKUP(Tabell46[[#This Row],[Namn]],V:V,Z:Z)</f>
        <v>6</v>
      </c>
      <c r="V46" s="3" t="s">
        <v>134</v>
      </c>
      <c r="W46" s="152"/>
      <c r="X46" s="152"/>
      <c r="Y46" s="152"/>
      <c r="Z46" s="152">
        <v>6</v>
      </c>
      <c r="AA46" s="152">
        <v>6</v>
      </c>
      <c r="AB46"/>
      <c r="AC46" s="3" t="s">
        <v>135</v>
      </c>
      <c r="AD46" s="152">
        <v>0</v>
      </c>
      <c r="AE46" s="152">
        <v>0</v>
      </c>
      <c r="AF46" s="152">
        <v>0</v>
      </c>
      <c r="AG46" s="152">
        <v>0</v>
      </c>
      <c r="AH46" s="152">
        <v>3</v>
      </c>
      <c r="AI46" s="152">
        <v>3</v>
      </c>
      <c r="AJ46" s="152">
        <v>0</v>
      </c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1">
        <v>6</v>
      </c>
      <c r="AW46" s="3" t="s">
        <v>135</v>
      </c>
      <c r="AX46" s="151"/>
      <c r="AY46" s="151">
        <v>0</v>
      </c>
      <c r="AZ46" s="151">
        <v>0</v>
      </c>
      <c r="BA46" s="151">
        <v>0</v>
      </c>
      <c r="BB46" s="151">
        <v>0</v>
      </c>
      <c r="BC46" s="151">
        <v>3</v>
      </c>
      <c r="BD46" s="151">
        <v>3</v>
      </c>
      <c r="BE46" s="151">
        <v>0</v>
      </c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>
        <v>6</v>
      </c>
    </row>
    <row r="47" spans="1:81" x14ac:dyDescent="0.25">
      <c r="A47" s="15">
        <f>Tabell46[[#This Row],[RANK MÅL]]</f>
        <v>31</v>
      </c>
      <c r="B47" s="11" t="s">
        <v>135</v>
      </c>
      <c r="C47" s="12">
        <f>SUMIF('ALLA ÅR'!B:B,Tabell46[[#This Row],[Namn]],'ALLA ÅR'!C:C)</f>
        <v>60</v>
      </c>
      <c r="D47" s="12">
        <f>SUMIF('ALLA ÅR'!B:B,Tabell46[[#This Row],[Namn]],'ALLA ÅR'!E:E)</f>
        <v>3</v>
      </c>
      <c r="E47" s="12">
        <f>SUMIF('ALLA ÅR'!B:B,Tabell46[[#This Row],[Namn]],'ALLA ÅR'!F:F)</f>
        <v>0</v>
      </c>
      <c r="F47" s="12">
        <f>SUMIF('ALLA ÅR'!B:B,Tabell46[[#This Row],[Namn]],'ALLA ÅR'!G:G)</f>
        <v>6</v>
      </c>
      <c r="G47" s="12">
        <f>VLOOKUP(Tabell46[[#This Row],[Namn]],'ALLA ÅR'!B:J,9,0)</f>
        <v>2016</v>
      </c>
      <c r="H47" s="12">
        <f>COUNTIF('ALLA ÅR'!B:B,Tabell46[[#This Row],[Namn]])</f>
        <v>7</v>
      </c>
      <c r="I47" s="12">
        <f>VLOOKUP(Tabell46[[#This Row],[Namn]],'ALLA ÅR'!B:L,11,0)</f>
        <v>20</v>
      </c>
      <c r="J47" s="12">
        <f>RANK(Tabell46[[#This Row],[MÅL]],F:F)</f>
        <v>31</v>
      </c>
      <c r="K47" s="12">
        <f>RANK(Tabell46[[#This Row],[VAR]],D:D)</f>
        <v>10</v>
      </c>
      <c r="L47" s="12">
        <f>RANK(Tabell46[[#This Row],[MAT]],C:C)</f>
        <v>15</v>
      </c>
      <c r="M47" s="14">
        <f>Tabell46[[#This Row],[MAT]]/Tabell46[[#This Row],[ANTAL MATCHER]]</f>
        <v>0.45112781954887216</v>
      </c>
      <c r="N47" s="12">
        <f>SUMIF('ALLA ÅR'!B:B,Tabell46[[#This Row],[Namn]],'ALLA ÅR'!H:H)</f>
        <v>133</v>
      </c>
      <c r="O47" s="12">
        <f>RANK(Tabell46[[#This Row],[ÅLDER]],I:I)</f>
        <v>50</v>
      </c>
      <c r="P47" s="21">
        <f>Tabell46[[#This Row],[MÅL]]/Tabell46[[#This Row],[MAT]]</f>
        <v>0.1</v>
      </c>
      <c r="Q47" s="12">
        <f>_xlfn.XLOOKUP(Tabell46[[#This Row],[Namn]],V:V,W:W)</f>
        <v>0</v>
      </c>
      <c r="R47" s="12">
        <f>_xlfn.XLOOKUP(Tabell46[[#This Row],[Namn]],V:V,X:X)</f>
        <v>0</v>
      </c>
      <c r="S47" s="12">
        <f>_xlfn.XLOOKUP(Tabell46[[#This Row],[Namn]],V:V,Y:Y)</f>
        <v>0</v>
      </c>
      <c r="T47" s="12">
        <f>_xlfn.XLOOKUP(Tabell46[[#This Row],[Namn]],V:V,Z:Z)</f>
        <v>6</v>
      </c>
      <c r="V47" s="3" t="s">
        <v>59</v>
      </c>
      <c r="W47" s="152">
        <v>0</v>
      </c>
      <c r="X47" s="152">
        <v>6</v>
      </c>
      <c r="Y47" s="152"/>
      <c r="Z47" s="152"/>
      <c r="AA47" s="152">
        <v>6</v>
      </c>
      <c r="AB47"/>
      <c r="AC47" s="3" t="s">
        <v>59</v>
      </c>
      <c r="AD47" s="152"/>
      <c r="AE47" s="152"/>
      <c r="AF47" s="152"/>
      <c r="AG47" s="152"/>
      <c r="AH47" s="152"/>
      <c r="AI47" s="152"/>
      <c r="AJ47" s="152"/>
      <c r="AK47" s="152"/>
      <c r="AL47" s="152">
        <v>0</v>
      </c>
      <c r="AM47" s="152">
        <v>1</v>
      </c>
      <c r="AN47" s="152">
        <v>0</v>
      </c>
      <c r="AO47" s="152"/>
      <c r="AP47" s="152">
        <v>0</v>
      </c>
      <c r="AQ47" s="152">
        <v>0</v>
      </c>
      <c r="AR47" s="152">
        <v>5</v>
      </c>
      <c r="AS47" s="152"/>
      <c r="AT47" s="152"/>
      <c r="AU47" s="151">
        <v>6</v>
      </c>
      <c r="AW47" s="3" t="s">
        <v>59</v>
      </c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>
        <v>0</v>
      </c>
      <c r="BO47" s="151">
        <v>1</v>
      </c>
      <c r="BP47" s="151">
        <v>0</v>
      </c>
      <c r="BQ47" s="151"/>
      <c r="BR47" s="151">
        <v>0</v>
      </c>
      <c r="BS47" s="151">
        <v>0</v>
      </c>
      <c r="BT47" s="151">
        <v>5</v>
      </c>
      <c r="BU47" s="151"/>
      <c r="BV47" s="151"/>
      <c r="BW47" s="151"/>
      <c r="BX47" s="151"/>
      <c r="BY47" s="151"/>
      <c r="BZ47" s="151"/>
      <c r="CA47" s="151"/>
      <c r="CB47" s="151"/>
      <c r="CC47" s="151">
        <v>6</v>
      </c>
    </row>
    <row r="48" spans="1:81" x14ac:dyDescent="0.25">
      <c r="A48" s="13">
        <f>Tabell46[[#This Row],[RANK MÅL]]</f>
        <v>37</v>
      </c>
      <c r="B48" s="11" t="s">
        <v>28</v>
      </c>
      <c r="C48" s="12">
        <f>SUMIF('ALLA ÅR'!B:B,Tabell46[[#This Row],[Namn]],'ALLA ÅR'!C:C)</f>
        <v>41</v>
      </c>
      <c r="D48" s="12">
        <f>SUMIF('ALLA ÅR'!B:B,Tabell46[[#This Row],[Namn]],'ALLA ÅR'!E:E)</f>
        <v>0</v>
      </c>
      <c r="E48" s="12">
        <f>SUMIF('ALLA ÅR'!B:B,Tabell46[[#This Row],[Namn]],'ALLA ÅR'!F:F)</f>
        <v>0</v>
      </c>
      <c r="F48" s="12">
        <f>SUMIF('ALLA ÅR'!B:B,Tabell46[[#This Row],[Namn]],'ALLA ÅR'!G:G)</f>
        <v>5</v>
      </c>
      <c r="G48" s="12">
        <f>VLOOKUP(Tabell46[[#This Row],[Namn]],'ALLA ÅR'!B:J,9,0)</f>
        <v>2026</v>
      </c>
      <c r="H48" s="12">
        <f>COUNTIF('ALLA ÅR'!B:B,Tabell46[[#This Row],[Namn]])</f>
        <v>4</v>
      </c>
      <c r="I48" s="12">
        <f>VLOOKUP(Tabell46[[#This Row],[Namn]],'ALLA ÅR'!B:L,11,0)</f>
        <v>19</v>
      </c>
      <c r="J48" s="12">
        <f>RANK(Tabell46[[#This Row],[MÅL]],F:F)</f>
        <v>37</v>
      </c>
      <c r="K48" s="12">
        <f>RANK(Tabell46[[#This Row],[VAR]],D:D)</f>
        <v>44</v>
      </c>
      <c r="L48" s="12">
        <f>RANK(Tabell46[[#This Row],[MAT]],C:C)</f>
        <v>28</v>
      </c>
      <c r="M48" s="14">
        <f>Tabell46[[#This Row],[MAT]]/Tabell46[[#This Row],[ANTAL MATCHER]]</f>
        <v>0.69491525423728817</v>
      </c>
      <c r="N48" s="12">
        <f>SUMIF('ALLA ÅR'!B:B,Tabell46[[#This Row],[Namn]],'ALLA ÅR'!H:H)</f>
        <v>59</v>
      </c>
      <c r="O48" s="12">
        <f>RANK(Tabell46[[#This Row],[ÅLDER]],I:I)</f>
        <v>63</v>
      </c>
      <c r="P48" s="21">
        <f>Tabell46[[#This Row],[MÅL]]/Tabell46[[#This Row],[MAT]]</f>
        <v>0.12195121951219512</v>
      </c>
      <c r="Q48" s="12">
        <f>_xlfn.XLOOKUP(Tabell46[[#This Row],[Namn]],V:V,W:W)</f>
        <v>0</v>
      </c>
      <c r="R48" s="12">
        <f>_xlfn.XLOOKUP(Tabell46[[#This Row],[Namn]],V:V,X:X)</f>
        <v>5</v>
      </c>
      <c r="S48" s="12">
        <f>_xlfn.XLOOKUP(Tabell46[[#This Row],[Namn]],V:V,Y:Y)</f>
        <v>0</v>
      </c>
      <c r="T48" s="12">
        <f>_xlfn.XLOOKUP(Tabell46[[#This Row],[Namn]],V:V,Z:Z)</f>
        <v>0</v>
      </c>
      <c r="V48" s="3" t="s">
        <v>189</v>
      </c>
      <c r="W48" s="152"/>
      <c r="X48" s="152"/>
      <c r="Y48" s="152">
        <v>5</v>
      </c>
      <c r="Z48" s="152"/>
      <c r="AA48" s="152">
        <v>5</v>
      </c>
      <c r="AB48"/>
      <c r="AC48" s="3" t="s">
        <v>30</v>
      </c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>
        <v>1</v>
      </c>
      <c r="AT48" s="152">
        <v>4</v>
      </c>
      <c r="AU48" s="151">
        <v>5</v>
      </c>
      <c r="AW48" s="3" t="s">
        <v>30</v>
      </c>
      <c r="AX48" s="151"/>
      <c r="AY48" s="151"/>
      <c r="AZ48" s="151"/>
      <c r="BA48" s="151"/>
      <c r="BB48" s="151"/>
      <c r="BC48" s="151"/>
      <c r="BD48" s="151"/>
      <c r="BE48" s="151">
        <v>1</v>
      </c>
      <c r="BF48" s="151">
        <v>4</v>
      </c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>
        <v>5</v>
      </c>
    </row>
    <row r="49" spans="1:81" x14ac:dyDescent="0.25">
      <c r="A49" s="15">
        <f>Tabell46[[#This Row],[RANK MÅL]]</f>
        <v>37</v>
      </c>
      <c r="B49" s="11" t="s">
        <v>30</v>
      </c>
      <c r="C49" s="12">
        <f>SUMIF('ALLA ÅR'!B:B,Tabell46[[#This Row],[Namn]],'ALLA ÅR'!C:C)</f>
        <v>6</v>
      </c>
      <c r="D49" s="12">
        <f>SUMIF('ALLA ÅR'!B:B,Tabell46[[#This Row],[Namn]],'ALLA ÅR'!E:E)</f>
        <v>0</v>
      </c>
      <c r="E49" s="12">
        <f>SUMIF('ALLA ÅR'!B:B,Tabell46[[#This Row],[Namn]],'ALLA ÅR'!F:F)</f>
        <v>0</v>
      </c>
      <c r="F49" s="12">
        <f>SUMIF('ALLA ÅR'!B:B,Tabell46[[#This Row],[Namn]],'ALLA ÅR'!G:G)</f>
        <v>5</v>
      </c>
      <c r="G49" s="12">
        <f>VLOOKUP(Tabell46[[#This Row],[Namn]],'ALLA ÅR'!B:J,9,0)</f>
        <v>2026</v>
      </c>
      <c r="H49" s="12">
        <f>COUNTIF('ALLA ÅR'!B:B,Tabell46[[#This Row],[Namn]])</f>
        <v>2</v>
      </c>
      <c r="I49" s="12">
        <f>VLOOKUP(Tabell46[[#This Row],[Namn]],'ALLA ÅR'!B:L,11,0)</f>
        <v>21</v>
      </c>
      <c r="J49" s="12">
        <f>RANK(Tabell46[[#This Row],[MÅL]],F:F)</f>
        <v>37</v>
      </c>
      <c r="K49" s="12">
        <f>RANK(Tabell46[[#This Row],[VAR]],D:D)</f>
        <v>44</v>
      </c>
      <c r="L49" s="12">
        <f>RANK(Tabell46[[#This Row],[MAT]],C:C)</f>
        <v>91</v>
      </c>
      <c r="M49" s="14">
        <f>Tabell46[[#This Row],[MAT]]/Tabell46[[#This Row],[ANTAL MATCHER]]</f>
        <v>0.75</v>
      </c>
      <c r="N49" s="12">
        <f>SUMIF('ALLA ÅR'!B:B,Tabell46[[#This Row],[Namn]],'ALLA ÅR'!H:H)</f>
        <v>8</v>
      </c>
      <c r="O49" s="12">
        <f>RANK(Tabell46[[#This Row],[ÅLDER]],I:I)</f>
        <v>42</v>
      </c>
      <c r="P49" s="21">
        <f>Tabell46[[#This Row],[MÅL]]/Tabell46[[#This Row],[MAT]]</f>
        <v>0.83333333333333337</v>
      </c>
      <c r="Q49" s="12">
        <f>_xlfn.XLOOKUP(Tabell46[[#This Row],[Namn]],V:V,W:W)</f>
        <v>0</v>
      </c>
      <c r="R49" s="12">
        <f>_xlfn.XLOOKUP(Tabell46[[#This Row],[Namn]],V:V,X:X)</f>
        <v>1</v>
      </c>
      <c r="S49" s="12">
        <f>_xlfn.XLOOKUP(Tabell46[[#This Row],[Namn]],V:V,Y:Y)</f>
        <v>0</v>
      </c>
      <c r="T49" s="12">
        <f>_xlfn.XLOOKUP(Tabell46[[#This Row],[Namn]],V:V,Z:Z)</f>
        <v>4</v>
      </c>
      <c r="V49" s="3" t="s">
        <v>28</v>
      </c>
      <c r="W49" s="152"/>
      <c r="X49" s="152">
        <v>5</v>
      </c>
      <c r="Y49" s="152"/>
      <c r="Z49" s="152">
        <v>0</v>
      </c>
      <c r="AA49" s="152">
        <v>5</v>
      </c>
      <c r="AB49"/>
      <c r="AC49" s="3" t="s">
        <v>28</v>
      </c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>
        <v>0</v>
      </c>
      <c r="AR49" s="152">
        <v>5</v>
      </c>
      <c r="AS49" s="152">
        <v>0</v>
      </c>
      <c r="AT49" s="152">
        <v>0</v>
      </c>
      <c r="AU49" s="151">
        <v>5</v>
      </c>
      <c r="AW49" s="3" t="s">
        <v>28</v>
      </c>
      <c r="AX49" s="151"/>
      <c r="AY49" s="151"/>
      <c r="AZ49" s="151"/>
      <c r="BA49" s="151">
        <v>0</v>
      </c>
      <c r="BB49" s="151">
        <v>5</v>
      </c>
      <c r="BC49" s="151">
        <v>0</v>
      </c>
      <c r="BD49" s="151">
        <v>0</v>
      </c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>
        <v>5</v>
      </c>
    </row>
    <row r="50" spans="1:81" x14ac:dyDescent="0.25">
      <c r="A50" s="13">
        <f>Tabell46[[#This Row],[RANK MÅL]]</f>
        <v>37</v>
      </c>
      <c r="B50" s="11" t="s">
        <v>50</v>
      </c>
      <c r="C50" s="12">
        <f>SUMIF('ALLA ÅR'!B:B,Tabell46[[#This Row],[Namn]],'ALLA ÅR'!C:C)</f>
        <v>92</v>
      </c>
      <c r="D50" s="12">
        <f>SUMIF('ALLA ÅR'!B:B,Tabell46[[#This Row],[Namn]],'ALLA ÅR'!E:E)</f>
        <v>4</v>
      </c>
      <c r="E50" s="12">
        <f>SUMIF('ALLA ÅR'!B:B,Tabell46[[#This Row],[Namn]],'ALLA ÅR'!F:F)</f>
        <v>0</v>
      </c>
      <c r="F50" s="12">
        <f>SUMIF('ALLA ÅR'!B:B,Tabell46[[#This Row],[Namn]],'ALLA ÅR'!G:G)</f>
        <v>5</v>
      </c>
      <c r="G50" s="12">
        <f>VLOOKUP(Tabell46[[#This Row],[Namn]],'ALLA ÅR'!B:J,9,0)</f>
        <v>2025</v>
      </c>
      <c r="H50" s="12">
        <f>COUNTIF('ALLA ÅR'!B:B,Tabell46[[#This Row],[Namn]])</f>
        <v>7</v>
      </c>
      <c r="I50" s="12">
        <f>VLOOKUP(Tabell46[[#This Row],[Namn]],'ALLA ÅR'!B:L,11,0)</f>
        <v>32</v>
      </c>
      <c r="J50" s="12">
        <f>RANK(Tabell46[[#This Row],[MÅL]],F:F)</f>
        <v>37</v>
      </c>
      <c r="K50" s="12">
        <f>RANK(Tabell46[[#This Row],[VAR]],D:D)</f>
        <v>5</v>
      </c>
      <c r="L50" s="12">
        <f>RANK(Tabell46[[#This Row],[MAT]],C:C)</f>
        <v>7</v>
      </c>
      <c r="M50" s="14">
        <f>Tabell46[[#This Row],[MAT]]/Tabell46[[#This Row],[ANTAL MATCHER]]</f>
        <v>0.65248226950354615</v>
      </c>
      <c r="N50" s="12">
        <f>SUMIF('ALLA ÅR'!B:B,Tabell46[[#This Row],[Namn]],'ALLA ÅR'!H:H)</f>
        <v>141</v>
      </c>
      <c r="O50" s="12">
        <f>RANK(Tabell46[[#This Row],[ÅLDER]],I:I)</f>
        <v>5</v>
      </c>
      <c r="P50" s="21">
        <f>Tabell46[[#This Row],[MÅL]]/Tabell46[[#This Row],[MAT]]</f>
        <v>5.434782608695652E-2</v>
      </c>
      <c r="Q50" s="12">
        <f>_xlfn.XLOOKUP(Tabell46[[#This Row],[Namn]],V:V,W:W)</f>
        <v>0</v>
      </c>
      <c r="R50" s="12">
        <f>_xlfn.XLOOKUP(Tabell46[[#This Row],[Namn]],V:V,X:X)</f>
        <v>2</v>
      </c>
      <c r="S50" s="12">
        <f>_xlfn.XLOOKUP(Tabell46[[#This Row],[Namn]],V:V,Y:Y)</f>
        <v>3</v>
      </c>
      <c r="T50" s="12">
        <f>_xlfn.XLOOKUP(Tabell46[[#This Row],[Namn]],V:V,Z:Z)</f>
        <v>0</v>
      </c>
      <c r="V50" s="3" t="s">
        <v>30</v>
      </c>
      <c r="W50" s="152"/>
      <c r="X50" s="152">
        <v>1</v>
      </c>
      <c r="Y50" s="152"/>
      <c r="Z50" s="152">
        <v>4</v>
      </c>
      <c r="AA50" s="152">
        <v>5</v>
      </c>
      <c r="AB50"/>
      <c r="AC50" s="3" t="s">
        <v>189</v>
      </c>
      <c r="AD50" s="152">
        <v>3</v>
      </c>
      <c r="AE50" s="152">
        <v>2</v>
      </c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1">
        <v>5</v>
      </c>
      <c r="AW50" s="3" t="s">
        <v>189</v>
      </c>
      <c r="AX50" s="151"/>
      <c r="AY50" s="151"/>
      <c r="AZ50" s="151"/>
      <c r="BA50" s="151"/>
      <c r="BB50" s="151"/>
      <c r="BC50" s="151"/>
      <c r="BD50" s="151"/>
      <c r="BE50" s="151">
        <v>3</v>
      </c>
      <c r="BF50" s="151">
        <v>2</v>
      </c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>
        <v>5</v>
      </c>
    </row>
    <row r="51" spans="1:81" x14ac:dyDescent="0.25">
      <c r="A51" s="15">
        <f>Tabell46[[#This Row],[RANK MÅL]]</f>
        <v>37</v>
      </c>
      <c r="B51" s="11" t="s">
        <v>189</v>
      </c>
      <c r="C51" s="12">
        <f>SUMIF('ALLA ÅR'!B:B,Tabell46[[#This Row],[Namn]],'ALLA ÅR'!C:C)</f>
        <v>36</v>
      </c>
      <c r="D51" s="12">
        <f>SUMIF('ALLA ÅR'!B:B,Tabell46[[#This Row],[Namn]],'ALLA ÅR'!E:E)</f>
        <v>4</v>
      </c>
      <c r="E51" s="12">
        <f>SUMIF('ALLA ÅR'!B:B,Tabell46[[#This Row],[Namn]],'ALLA ÅR'!F:F)</f>
        <v>0</v>
      </c>
      <c r="F51" s="12">
        <f>SUMIF('ALLA ÅR'!B:B,Tabell46[[#This Row],[Namn]],'ALLA ÅR'!G:G)</f>
        <v>5</v>
      </c>
      <c r="G51" s="12">
        <f>VLOOKUP(Tabell46[[#This Row],[Namn]],'ALLA ÅR'!B:J,9,0)</f>
        <v>2011</v>
      </c>
      <c r="H51" s="12">
        <f>COUNTIF('ALLA ÅR'!B:B,Tabell46[[#This Row],[Namn]])</f>
        <v>2</v>
      </c>
      <c r="I51" s="12">
        <f>VLOOKUP(Tabell46[[#This Row],[Namn]],'ALLA ÅR'!B:L,11,0)</f>
        <v>21</v>
      </c>
      <c r="J51" s="12">
        <f>RANK(Tabell46[[#This Row],[MÅL]],F:F)</f>
        <v>37</v>
      </c>
      <c r="K51" s="12">
        <f>RANK(Tabell46[[#This Row],[VAR]],D:D)</f>
        <v>5</v>
      </c>
      <c r="L51" s="12">
        <f>RANK(Tabell46[[#This Row],[MAT]],C:C)</f>
        <v>34</v>
      </c>
      <c r="M51" s="14">
        <f>Tabell46[[#This Row],[MAT]]/Tabell46[[#This Row],[ANTAL MATCHER]]</f>
        <v>0.78260869565217395</v>
      </c>
      <c r="N51" s="12">
        <f>SUMIF('ALLA ÅR'!B:B,Tabell46[[#This Row],[Namn]],'ALLA ÅR'!H:H)</f>
        <v>46</v>
      </c>
      <c r="O51" s="12">
        <f>RANK(Tabell46[[#This Row],[ÅLDER]],I:I)</f>
        <v>42</v>
      </c>
      <c r="P51" s="21">
        <f>Tabell46[[#This Row],[MÅL]]/Tabell46[[#This Row],[MAT]]</f>
        <v>0.1388888888888889</v>
      </c>
      <c r="Q51" s="12">
        <f>_xlfn.XLOOKUP(Tabell46[[#This Row],[Namn]],V:V,W:W)</f>
        <v>0</v>
      </c>
      <c r="R51" s="12">
        <f>_xlfn.XLOOKUP(Tabell46[[#This Row],[Namn]],V:V,X:X)</f>
        <v>0</v>
      </c>
      <c r="S51" s="12">
        <f>_xlfn.XLOOKUP(Tabell46[[#This Row],[Namn]],V:V,Y:Y)</f>
        <v>5</v>
      </c>
      <c r="T51" s="12">
        <f>_xlfn.XLOOKUP(Tabell46[[#This Row],[Namn]],V:V,Z:Z)</f>
        <v>0</v>
      </c>
      <c r="V51" s="3" t="s">
        <v>50</v>
      </c>
      <c r="W51" s="152"/>
      <c r="X51" s="152">
        <v>2</v>
      </c>
      <c r="Y51" s="152">
        <v>3</v>
      </c>
      <c r="Z51" s="152"/>
      <c r="AA51" s="152">
        <v>5</v>
      </c>
      <c r="AB51"/>
      <c r="AC51" s="3" t="s">
        <v>50</v>
      </c>
      <c r="AD51" s="152">
        <v>0</v>
      </c>
      <c r="AE51" s="152">
        <v>3</v>
      </c>
      <c r="AF51" s="152"/>
      <c r="AG51" s="152"/>
      <c r="AH51" s="152"/>
      <c r="AI51" s="152"/>
      <c r="AJ51" s="152"/>
      <c r="AK51" s="152"/>
      <c r="AL51" s="152"/>
      <c r="AM51" s="152"/>
      <c r="AN51" s="152"/>
      <c r="AO51" s="152">
        <v>0</v>
      </c>
      <c r="AP51" s="152">
        <v>0</v>
      </c>
      <c r="AQ51" s="152">
        <v>0</v>
      </c>
      <c r="AR51" s="152">
        <v>2</v>
      </c>
      <c r="AS51" s="152">
        <v>0</v>
      </c>
      <c r="AT51" s="152"/>
      <c r="AU51" s="151">
        <v>5</v>
      </c>
      <c r="AW51" s="3" t="s">
        <v>50</v>
      </c>
      <c r="AX51" s="151"/>
      <c r="AY51" s="151"/>
      <c r="AZ51" s="151"/>
      <c r="BA51" s="151"/>
      <c r="BB51" s="151">
        <v>0</v>
      </c>
      <c r="BC51" s="151">
        <v>3</v>
      </c>
      <c r="BD51" s="151"/>
      <c r="BE51" s="151"/>
      <c r="BF51" s="151"/>
      <c r="BG51" s="151"/>
      <c r="BH51" s="151"/>
      <c r="BI51" s="151"/>
      <c r="BJ51" s="151"/>
      <c r="BK51" s="151"/>
      <c r="BL51" s="151"/>
      <c r="BM51" s="151">
        <v>0</v>
      </c>
      <c r="BN51" s="151">
        <v>0</v>
      </c>
      <c r="BO51" s="151">
        <v>0</v>
      </c>
      <c r="BP51" s="151">
        <v>2</v>
      </c>
      <c r="BQ51" s="151">
        <v>0</v>
      </c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>
        <v>5</v>
      </c>
    </row>
    <row r="52" spans="1:81" x14ac:dyDescent="0.25">
      <c r="A52" s="13">
        <f>Tabell46[[#This Row],[RANK MÅL]]</f>
        <v>41</v>
      </c>
      <c r="B52" s="11" t="s">
        <v>40</v>
      </c>
      <c r="C52" s="12">
        <f>SUMIF('ALLA ÅR'!B:B,Tabell46[[#This Row],[Namn]],'ALLA ÅR'!C:C)</f>
        <v>22</v>
      </c>
      <c r="D52" s="12">
        <f>SUMIF('ALLA ÅR'!B:B,Tabell46[[#This Row],[Namn]],'ALLA ÅR'!E:E)</f>
        <v>0</v>
      </c>
      <c r="E52" s="12">
        <f>SUMIF('ALLA ÅR'!B:B,Tabell46[[#This Row],[Namn]],'ALLA ÅR'!F:F)</f>
        <v>0</v>
      </c>
      <c r="F52" s="12">
        <f>SUMIF('ALLA ÅR'!B:B,Tabell46[[#This Row],[Namn]],'ALLA ÅR'!G:G)</f>
        <v>4</v>
      </c>
      <c r="G52" s="12">
        <f>VLOOKUP(Tabell46[[#This Row],[Namn]],'ALLA ÅR'!B:J,9,0)</f>
        <v>2026</v>
      </c>
      <c r="H52" s="12">
        <f>COUNTIF('ALLA ÅR'!B:B,Tabell46[[#This Row],[Namn]])</f>
        <v>3</v>
      </c>
      <c r="I52" s="12">
        <f>VLOOKUP(Tabell46[[#This Row],[Namn]],'ALLA ÅR'!B:L,11,0)</f>
        <v>19</v>
      </c>
      <c r="J52" s="12">
        <f>RANK(Tabell46[[#This Row],[MÅL]],F:F)</f>
        <v>41</v>
      </c>
      <c r="K52" s="12">
        <f>RANK(Tabell46[[#This Row],[VAR]],D:D)</f>
        <v>44</v>
      </c>
      <c r="L52" s="12">
        <f>RANK(Tabell46[[#This Row],[MAT]],C:C)</f>
        <v>54</v>
      </c>
      <c r="M52" s="14">
        <f>Tabell46[[#This Row],[MAT]]/Tabell46[[#This Row],[ANTAL MATCHER]]</f>
        <v>0.59459459459459463</v>
      </c>
      <c r="N52" s="12">
        <f>SUMIF('ALLA ÅR'!B:B,Tabell46[[#This Row],[Namn]],'ALLA ÅR'!H:H)</f>
        <v>37</v>
      </c>
      <c r="O52" s="12">
        <f>RANK(Tabell46[[#This Row],[ÅLDER]],I:I)</f>
        <v>63</v>
      </c>
      <c r="P52" s="21">
        <f>Tabell46[[#This Row],[MÅL]]/Tabell46[[#This Row],[MAT]]</f>
        <v>0.18181818181818182</v>
      </c>
      <c r="Q52" s="12">
        <f>_xlfn.XLOOKUP(Tabell46[[#This Row],[Namn]],V:V,W:W)</f>
        <v>0</v>
      </c>
      <c r="R52" s="12">
        <f>_xlfn.XLOOKUP(Tabell46[[#This Row],[Namn]],V:V,X:X)</f>
        <v>4</v>
      </c>
      <c r="S52" s="12">
        <f>_xlfn.XLOOKUP(Tabell46[[#This Row],[Namn]],V:V,Y:Y)</f>
        <v>0</v>
      </c>
      <c r="T52" s="12">
        <f>_xlfn.XLOOKUP(Tabell46[[#This Row],[Namn]],V:V,Z:Z)</f>
        <v>0</v>
      </c>
      <c r="V52" s="3" t="s">
        <v>111</v>
      </c>
      <c r="W52" s="152"/>
      <c r="X52" s="152">
        <v>1</v>
      </c>
      <c r="Y52" s="152">
        <v>1</v>
      </c>
      <c r="Z52" s="152">
        <v>2</v>
      </c>
      <c r="AA52" s="152">
        <v>4</v>
      </c>
      <c r="AB52"/>
      <c r="AC52" s="3" t="s">
        <v>57</v>
      </c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>
        <v>4</v>
      </c>
      <c r="AS52" s="152"/>
      <c r="AT52" s="152"/>
      <c r="AU52" s="151">
        <v>4</v>
      </c>
      <c r="AW52" s="3" t="s">
        <v>57</v>
      </c>
      <c r="AX52" s="151"/>
      <c r="AY52" s="151"/>
      <c r="AZ52" s="151"/>
      <c r="BA52" s="151"/>
      <c r="BB52" s="151"/>
      <c r="BC52" s="151">
        <v>4</v>
      </c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1"/>
      <c r="CC52" s="151">
        <v>4</v>
      </c>
    </row>
    <row r="53" spans="1:81" x14ac:dyDescent="0.25">
      <c r="A53" s="15">
        <f>Tabell46[[#This Row],[RANK MÅL]]</f>
        <v>41</v>
      </c>
      <c r="B53" s="11" t="s">
        <v>57</v>
      </c>
      <c r="C53" s="12">
        <f>SUMIF('ALLA ÅR'!B:B,Tabell46[[#This Row],[Namn]],'ALLA ÅR'!C:C)</f>
        <v>27</v>
      </c>
      <c r="D53" s="12">
        <f>SUMIF('ALLA ÅR'!B:B,Tabell46[[#This Row],[Namn]],'ALLA ÅR'!E:E)</f>
        <v>0</v>
      </c>
      <c r="E53" s="12">
        <f>SUMIF('ALLA ÅR'!B:B,Tabell46[[#This Row],[Namn]],'ALLA ÅR'!F:F)</f>
        <v>0</v>
      </c>
      <c r="F53" s="12">
        <f>SUMIF('ALLA ÅR'!B:B,Tabell46[[#This Row],[Namn]],'ALLA ÅR'!G:G)</f>
        <v>4</v>
      </c>
      <c r="G53" s="12">
        <f>VLOOKUP(Tabell46[[#This Row],[Namn]],'ALLA ÅR'!B:J,9,0)</f>
        <v>2024</v>
      </c>
      <c r="H53" s="12">
        <f>COUNTIF('ALLA ÅR'!B:B,Tabell46[[#This Row],[Namn]])</f>
        <v>1</v>
      </c>
      <c r="I53" s="12">
        <f>VLOOKUP(Tabell46[[#This Row],[Namn]],'ALLA ÅR'!B:L,11,0)</f>
        <v>18</v>
      </c>
      <c r="J53" s="12">
        <f>RANK(Tabell46[[#This Row],[MÅL]],F:F)</f>
        <v>41</v>
      </c>
      <c r="K53" s="12">
        <f>RANK(Tabell46[[#This Row],[VAR]],D:D)</f>
        <v>44</v>
      </c>
      <c r="L53" s="12">
        <f>RANK(Tabell46[[#This Row],[MAT]],C:C)</f>
        <v>45</v>
      </c>
      <c r="M53" s="14">
        <f>Tabell46[[#This Row],[MAT]]/Tabell46[[#This Row],[ANTAL MATCHER]]</f>
        <v>0.93103448275862066</v>
      </c>
      <c r="N53" s="12">
        <f>SUMIF('ALLA ÅR'!B:B,Tabell46[[#This Row],[Namn]],'ALLA ÅR'!H:H)</f>
        <v>29</v>
      </c>
      <c r="O53" s="12">
        <f>RANK(Tabell46[[#This Row],[ÅLDER]],I:I)</f>
        <v>72</v>
      </c>
      <c r="P53" s="21">
        <f>Tabell46[[#This Row],[MÅL]]/Tabell46[[#This Row],[MAT]]</f>
        <v>0.14814814814814814</v>
      </c>
      <c r="Q53" s="12">
        <f>_xlfn.XLOOKUP(Tabell46[[#This Row],[Namn]],V:V,W:W)</f>
        <v>0</v>
      </c>
      <c r="R53" s="12">
        <f>_xlfn.XLOOKUP(Tabell46[[#This Row],[Namn]],V:V,X:X)</f>
        <v>4</v>
      </c>
      <c r="S53" s="12">
        <f>_xlfn.XLOOKUP(Tabell46[[#This Row],[Namn]],V:V,Y:Y)</f>
        <v>0</v>
      </c>
      <c r="T53" s="12">
        <f>_xlfn.XLOOKUP(Tabell46[[#This Row],[Namn]],V:V,Z:Z)</f>
        <v>0</v>
      </c>
      <c r="V53" s="3" t="s">
        <v>99</v>
      </c>
      <c r="W53" s="152">
        <v>0</v>
      </c>
      <c r="X53" s="152">
        <v>4</v>
      </c>
      <c r="Y53" s="152"/>
      <c r="Z53" s="152"/>
      <c r="AA53" s="152">
        <v>4</v>
      </c>
      <c r="AB53"/>
      <c r="AC53" s="3" t="s">
        <v>40</v>
      </c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>
        <v>3</v>
      </c>
      <c r="AS53" s="152">
        <v>1</v>
      </c>
      <c r="AT53" s="152">
        <v>0</v>
      </c>
      <c r="AU53" s="151">
        <v>4</v>
      </c>
      <c r="AW53" s="3" t="s">
        <v>40</v>
      </c>
      <c r="AX53" s="151"/>
      <c r="AY53" s="151"/>
      <c r="AZ53" s="151"/>
      <c r="BA53" s="151"/>
      <c r="BB53" s="151">
        <v>3</v>
      </c>
      <c r="BC53" s="151">
        <v>1</v>
      </c>
      <c r="BD53" s="151">
        <v>0</v>
      </c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>
        <v>4</v>
      </c>
    </row>
    <row r="54" spans="1:81" x14ac:dyDescent="0.25">
      <c r="A54" s="13">
        <f>Tabell46[[#This Row],[RANK MÅL]]</f>
        <v>41</v>
      </c>
      <c r="B54" s="11" t="s">
        <v>72</v>
      </c>
      <c r="C54" s="12">
        <f>SUMIF('ALLA ÅR'!B:B,Tabell46[[#This Row],[Namn]],'ALLA ÅR'!C:C)</f>
        <v>14</v>
      </c>
      <c r="D54" s="12">
        <f>SUMIF('ALLA ÅR'!B:B,Tabell46[[#This Row],[Namn]],'ALLA ÅR'!E:E)</f>
        <v>1</v>
      </c>
      <c r="E54" s="12">
        <f>SUMIF('ALLA ÅR'!B:B,Tabell46[[#This Row],[Namn]],'ALLA ÅR'!F:F)</f>
        <v>0</v>
      </c>
      <c r="F54" s="12">
        <f>SUMIF('ALLA ÅR'!B:B,Tabell46[[#This Row],[Namn]],'ALLA ÅR'!G:G)</f>
        <v>4</v>
      </c>
      <c r="G54" s="12">
        <f>VLOOKUP(Tabell46[[#This Row],[Namn]],'ALLA ÅR'!B:J,9,0)</f>
        <v>2023</v>
      </c>
      <c r="H54" s="12">
        <f>COUNTIF('ALLA ÅR'!B:B,Tabell46[[#This Row],[Namn]])</f>
        <v>1</v>
      </c>
      <c r="I54" s="12">
        <f>VLOOKUP(Tabell46[[#This Row],[Namn]],'ALLA ÅR'!B:L,11,0)</f>
        <v>20</v>
      </c>
      <c r="J54" s="12">
        <f>RANK(Tabell46[[#This Row],[MÅL]],F:F)</f>
        <v>41</v>
      </c>
      <c r="K54" s="12">
        <f>RANK(Tabell46[[#This Row],[VAR]],D:D)</f>
        <v>25</v>
      </c>
      <c r="L54" s="12">
        <f>RANK(Tabell46[[#This Row],[MAT]],C:C)</f>
        <v>68</v>
      </c>
      <c r="M54" s="14">
        <f>Tabell46[[#This Row],[MAT]]/Tabell46[[#This Row],[ANTAL MATCHER]]</f>
        <v>0.63636363636363635</v>
      </c>
      <c r="N54" s="12">
        <f>SUMIF('ALLA ÅR'!B:B,Tabell46[[#This Row],[Namn]],'ALLA ÅR'!H:H)</f>
        <v>22</v>
      </c>
      <c r="O54" s="12">
        <f>RANK(Tabell46[[#This Row],[ÅLDER]],I:I)</f>
        <v>50</v>
      </c>
      <c r="P54" s="21">
        <f>Tabell46[[#This Row],[MÅL]]/Tabell46[[#This Row],[MAT]]</f>
        <v>0.2857142857142857</v>
      </c>
      <c r="Q54" s="12">
        <f>_xlfn.XLOOKUP(Tabell46[[#This Row],[Namn]],V:V,W:W)</f>
        <v>0</v>
      </c>
      <c r="R54" s="12">
        <f>_xlfn.XLOOKUP(Tabell46[[#This Row],[Namn]],V:V,X:X)</f>
        <v>4</v>
      </c>
      <c r="S54" s="12">
        <f>_xlfn.XLOOKUP(Tabell46[[#This Row],[Namn]],V:V,Y:Y)</f>
        <v>0</v>
      </c>
      <c r="T54" s="12">
        <f>_xlfn.XLOOKUP(Tabell46[[#This Row],[Namn]],V:V,Z:Z)</f>
        <v>0</v>
      </c>
      <c r="V54" s="3" t="s">
        <v>57</v>
      </c>
      <c r="W54" s="152"/>
      <c r="X54" s="152">
        <v>4</v>
      </c>
      <c r="Y54" s="152"/>
      <c r="Z54" s="152"/>
      <c r="AA54" s="152">
        <v>4</v>
      </c>
      <c r="AB54"/>
      <c r="AC54" s="3" t="s">
        <v>138</v>
      </c>
      <c r="AD54" s="152"/>
      <c r="AE54" s="152"/>
      <c r="AF54" s="152">
        <v>2</v>
      </c>
      <c r="AG54" s="152"/>
      <c r="AH54" s="152"/>
      <c r="AI54" s="152"/>
      <c r="AJ54" s="152">
        <v>2</v>
      </c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1">
        <v>4</v>
      </c>
      <c r="AW54" s="3" t="s">
        <v>138</v>
      </c>
      <c r="AX54" s="151"/>
      <c r="AY54" s="151"/>
      <c r="AZ54" s="151"/>
      <c r="BA54" s="151">
        <v>2</v>
      </c>
      <c r="BB54" s="151"/>
      <c r="BC54" s="151"/>
      <c r="BD54" s="151"/>
      <c r="BE54" s="151">
        <v>2</v>
      </c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>
        <v>4</v>
      </c>
    </row>
    <row r="55" spans="1:81" x14ac:dyDescent="0.25">
      <c r="A55" s="15">
        <f>Tabell46[[#This Row],[RANK MÅL]]</f>
        <v>41</v>
      </c>
      <c r="B55" s="11" t="s">
        <v>99</v>
      </c>
      <c r="C55" s="12">
        <f>SUMIF('ALLA ÅR'!B:B,Tabell46[[#This Row],[Namn]],'ALLA ÅR'!C:C)</f>
        <v>36</v>
      </c>
      <c r="D55" s="12">
        <f>SUMIF('ALLA ÅR'!B:B,Tabell46[[#This Row],[Namn]],'ALLA ÅR'!E:E)</f>
        <v>1</v>
      </c>
      <c r="E55" s="12">
        <f>SUMIF('ALLA ÅR'!B:B,Tabell46[[#This Row],[Namn]],'ALLA ÅR'!F:F)</f>
        <v>0</v>
      </c>
      <c r="F55" s="12">
        <f>SUMIF('ALLA ÅR'!B:B,Tabell46[[#This Row],[Namn]],'ALLA ÅR'!G:G)</f>
        <v>4</v>
      </c>
      <c r="G55" s="12">
        <f>VLOOKUP(Tabell46[[#This Row],[Namn]],'ALLA ÅR'!B:J,9,0)</f>
        <v>2020</v>
      </c>
      <c r="H55" s="12">
        <f>COUNTIF('ALLA ÅR'!B:B,Tabell46[[#This Row],[Namn]])</f>
        <v>2</v>
      </c>
      <c r="I55" s="12">
        <f>VLOOKUP(Tabell46[[#This Row],[Namn]],'ALLA ÅR'!B:L,11,0)</f>
        <v>22</v>
      </c>
      <c r="J55" s="12">
        <f>RANK(Tabell46[[#This Row],[MÅL]],F:F)</f>
        <v>41</v>
      </c>
      <c r="K55" s="12">
        <f>RANK(Tabell46[[#This Row],[VAR]],D:D)</f>
        <v>25</v>
      </c>
      <c r="L55" s="12">
        <f>RANK(Tabell46[[#This Row],[MAT]],C:C)</f>
        <v>34</v>
      </c>
      <c r="M55" s="14">
        <f>Tabell46[[#This Row],[MAT]]/Tabell46[[#This Row],[ANTAL MATCHER]]</f>
        <v>1</v>
      </c>
      <c r="N55" s="12">
        <f>SUMIF('ALLA ÅR'!B:B,Tabell46[[#This Row],[Namn]],'ALLA ÅR'!H:H)</f>
        <v>36</v>
      </c>
      <c r="O55" s="12">
        <f>RANK(Tabell46[[#This Row],[ÅLDER]],I:I)</f>
        <v>36</v>
      </c>
      <c r="P55" s="21">
        <f>Tabell46[[#This Row],[MÅL]]/Tabell46[[#This Row],[MAT]]</f>
        <v>0.1111111111111111</v>
      </c>
      <c r="Q55" s="12">
        <f>_xlfn.XLOOKUP(Tabell46[[#This Row],[Namn]],V:V,W:W)</f>
        <v>0</v>
      </c>
      <c r="R55" s="12">
        <f>_xlfn.XLOOKUP(Tabell46[[#This Row],[Namn]],V:V,X:X)</f>
        <v>4</v>
      </c>
      <c r="S55" s="12">
        <f>_xlfn.XLOOKUP(Tabell46[[#This Row],[Namn]],V:V,Y:Y)</f>
        <v>0</v>
      </c>
      <c r="T55" s="12">
        <f>_xlfn.XLOOKUP(Tabell46[[#This Row],[Namn]],V:V,Z:Z)</f>
        <v>0</v>
      </c>
      <c r="V55" s="3" t="s">
        <v>138</v>
      </c>
      <c r="W55" s="152"/>
      <c r="X55" s="152"/>
      <c r="Y55" s="152"/>
      <c r="Z55" s="152">
        <v>4</v>
      </c>
      <c r="AA55" s="152">
        <v>4</v>
      </c>
      <c r="AB55"/>
      <c r="AC55" s="3" t="s">
        <v>72</v>
      </c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>
        <v>4</v>
      </c>
      <c r="AR55" s="152"/>
      <c r="AS55" s="152"/>
      <c r="AT55" s="152"/>
      <c r="AU55" s="151">
        <v>4</v>
      </c>
      <c r="AW55" s="3" t="s">
        <v>72</v>
      </c>
      <c r="AX55" s="151"/>
      <c r="AY55" s="151"/>
      <c r="AZ55" s="151"/>
      <c r="BA55" s="151"/>
      <c r="BB55" s="151"/>
      <c r="BC55" s="151"/>
      <c r="BD55" s="151"/>
      <c r="BE55" s="151">
        <v>4</v>
      </c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>
        <v>4</v>
      </c>
    </row>
    <row r="56" spans="1:81" x14ac:dyDescent="0.25">
      <c r="A56" s="13">
        <f>Tabell46[[#This Row],[RANK MÅL]]</f>
        <v>41</v>
      </c>
      <c r="B56" s="11" t="s">
        <v>111</v>
      </c>
      <c r="C56" s="12">
        <f>SUMIF('ALLA ÅR'!B:B,Tabell46[[#This Row],[Namn]],'ALLA ÅR'!C:C)</f>
        <v>43</v>
      </c>
      <c r="D56" s="12">
        <f>SUMIF('ALLA ÅR'!B:B,Tabell46[[#This Row],[Namn]],'ALLA ÅR'!E:E)</f>
        <v>0</v>
      </c>
      <c r="E56" s="12">
        <f>SUMIF('ALLA ÅR'!B:B,Tabell46[[#This Row],[Namn]],'ALLA ÅR'!F:F)</f>
        <v>0</v>
      </c>
      <c r="F56" s="12">
        <f>SUMIF('ALLA ÅR'!B:B,Tabell46[[#This Row],[Namn]],'ALLA ÅR'!G:G)</f>
        <v>4</v>
      </c>
      <c r="G56" s="12">
        <f>VLOOKUP(Tabell46[[#This Row],[Namn]],'ALLA ÅR'!B:J,9,0)</f>
        <v>2018</v>
      </c>
      <c r="H56" s="12">
        <f>COUNTIF('ALLA ÅR'!B:B,Tabell46[[#This Row],[Namn]])</f>
        <v>3</v>
      </c>
      <c r="I56" s="12">
        <f>VLOOKUP(Tabell46[[#This Row],[Namn]],'ALLA ÅR'!B:L,11,0)</f>
        <v>23</v>
      </c>
      <c r="J56" s="12">
        <f>RANK(Tabell46[[#This Row],[MÅL]],F:F)</f>
        <v>41</v>
      </c>
      <c r="K56" s="12">
        <f>RANK(Tabell46[[#This Row],[VAR]],D:D)</f>
        <v>44</v>
      </c>
      <c r="L56" s="12">
        <f>RANK(Tabell46[[#This Row],[MAT]],C:C)</f>
        <v>25</v>
      </c>
      <c r="M56" s="14">
        <f>Tabell46[[#This Row],[MAT]]/Tabell46[[#This Row],[ANTAL MATCHER]]</f>
        <v>0.86</v>
      </c>
      <c r="N56" s="12">
        <f>SUMIF('ALLA ÅR'!B:B,Tabell46[[#This Row],[Namn]],'ALLA ÅR'!H:H)</f>
        <v>50</v>
      </c>
      <c r="O56" s="12">
        <f>RANK(Tabell46[[#This Row],[ÅLDER]],I:I)</f>
        <v>30</v>
      </c>
      <c r="P56" s="21">
        <f>Tabell46[[#This Row],[MÅL]]/Tabell46[[#This Row],[MAT]]</f>
        <v>9.3023255813953487E-2</v>
      </c>
      <c r="Q56" s="12">
        <f>_xlfn.XLOOKUP(Tabell46[[#This Row],[Namn]],V:V,W:W)</f>
        <v>0</v>
      </c>
      <c r="R56" s="12">
        <f>_xlfn.XLOOKUP(Tabell46[[#This Row],[Namn]],V:V,X:X)</f>
        <v>1</v>
      </c>
      <c r="S56" s="12">
        <f>_xlfn.XLOOKUP(Tabell46[[#This Row],[Namn]],V:V,Y:Y)</f>
        <v>1</v>
      </c>
      <c r="T56" s="12">
        <f>_xlfn.XLOOKUP(Tabell46[[#This Row],[Namn]],V:V,Z:Z)</f>
        <v>2</v>
      </c>
      <c r="V56" s="3" t="s">
        <v>40</v>
      </c>
      <c r="W56" s="152"/>
      <c r="X56" s="152">
        <v>4</v>
      </c>
      <c r="Y56" s="152"/>
      <c r="Z56" s="152">
        <v>0</v>
      </c>
      <c r="AA56" s="152">
        <v>4</v>
      </c>
      <c r="AB56"/>
      <c r="AC56" s="3" t="s">
        <v>111</v>
      </c>
      <c r="AD56" s="152"/>
      <c r="AE56" s="152"/>
      <c r="AF56" s="152"/>
      <c r="AG56" s="152"/>
      <c r="AH56" s="152"/>
      <c r="AI56" s="152"/>
      <c r="AJ56" s="152">
        <v>2</v>
      </c>
      <c r="AK56" s="152">
        <v>1</v>
      </c>
      <c r="AL56" s="152">
        <v>1</v>
      </c>
      <c r="AM56" s="152"/>
      <c r="AN56" s="152"/>
      <c r="AO56" s="152"/>
      <c r="AP56" s="152"/>
      <c r="AQ56" s="152"/>
      <c r="AR56" s="152"/>
      <c r="AS56" s="152"/>
      <c r="AT56" s="152"/>
      <c r="AU56" s="151">
        <v>4</v>
      </c>
      <c r="AW56" s="3" t="s">
        <v>111</v>
      </c>
      <c r="AX56" s="151"/>
      <c r="AY56" s="151"/>
      <c r="AZ56" s="151"/>
      <c r="BA56" s="151"/>
      <c r="BB56" s="151"/>
      <c r="BC56" s="151"/>
      <c r="BD56" s="151"/>
      <c r="BE56" s="151"/>
      <c r="BF56" s="151">
        <v>2</v>
      </c>
      <c r="BG56" s="151">
        <v>1</v>
      </c>
      <c r="BH56" s="151">
        <v>1</v>
      </c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>
        <v>4</v>
      </c>
    </row>
    <row r="57" spans="1:81" x14ac:dyDescent="0.25">
      <c r="A57" s="15">
        <f>Tabell46[[#This Row],[RANK MÅL]]</f>
        <v>41</v>
      </c>
      <c r="B57" s="11" t="s">
        <v>137</v>
      </c>
      <c r="C57" s="12">
        <f>SUMIF('ALLA ÅR'!B:B,Tabell46[[#This Row],[Namn]],'ALLA ÅR'!C:C)</f>
        <v>44</v>
      </c>
      <c r="D57" s="12">
        <f>SUMIF('ALLA ÅR'!B:B,Tabell46[[#This Row],[Namn]],'ALLA ÅR'!E:E)</f>
        <v>0</v>
      </c>
      <c r="E57" s="12">
        <f>SUMIF('ALLA ÅR'!B:B,Tabell46[[#This Row],[Namn]],'ALLA ÅR'!F:F)</f>
        <v>0</v>
      </c>
      <c r="F57" s="12">
        <f>SUMIF('ALLA ÅR'!B:B,Tabell46[[#This Row],[Namn]],'ALLA ÅR'!G:G)</f>
        <v>4</v>
      </c>
      <c r="G57" s="12">
        <f>VLOOKUP(Tabell46[[#This Row],[Namn]],'ALLA ÅR'!B:J,9,0)</f>
        <v>2016</v>
      </c>
      <c r="H57" s="12">
        <f>COUNTIF('ALLA ÅR'!B:B,Tabell46[[#This Row],[Namn]])</f>
        <v>5</v>
      </c>
      <c r="I57" s="12">
        <f>VLOOKUP(Tabell46[[#This Row],[Namn]],'ALLA ÅR'!B:L,11,0)</f>
        <v>20</v>
      </c>
      <c r="J57" s="12">
        <f>RANK(Tabell46[[#This Row],[MÅL]],F:F)</f>
        <v>41</v>
      </c>
      <c r="K57" s="12">
        <f>RANK(Tabell46[[#This Row],[VAR]],D:D)</f>
        <v>44</v>
      </c>
      <c r="L57" s="12">
        <f>RANK(Tabell46[[#This Row],[MAT]],C:C)</f>
        <v>24</v>
      </c>
      <c r="M57" s="14">
        <f>Tabell46[[#This Row],[MAT]]/Tabell46[[#This Row],[ANTAL MATCHER]]</f>
        <v>0.50574712643678166</v>
      </c>
      <c r="N57" s="12">
        <f>SUMIF('ALLA ÅR'!B:B,Tabell46[[#This Row],[Namn]],'ALLA ÅR'!H:H)</f>
        <v>87</v>
      </c>
      <c r="O57" s="12">
        <f>RANK(Tabell46[[#This Row],[ÅLDER]],I:I)</f>
        <v>50</v>
      </c>
      <c r="P57" s="21">
        <f>Tabell46[[#This Row],[MÅL]]/Tabell46[[#This Row],[MAT]]</f>
        <v>9.0909090909090912E-2</v>
      </c>
      <c r="Q57" s="12">
        <f>_xlfn.XLOOKUP(Tabell46[[#This Row],[Namn]],V:V,W:W)</f>
        <v>0</v>
      </c>
      <c r="R57" s="12">
        <f>_xlfn.XLOOKUP(Tabell46[[#This Row],[Namn]],V:V,X:X)</f>
        <v>0</v>
      </c>
      <c r="S57" s="12">
        <f>_xlfn.XLOOKUP(Tabell46[[#This Row],[Namn]],V:V,Y:Y)</f>
        <v>0</v>
      </c>
      <c r="T57" s="12">
        <f>_xlfn.XLOOKUP(Tabell46[[#This Row],[Namn]],V:V,Z:Z)</f>
        <v>4</v>
      </c>
      <c r="V57" s="3" t="s">
        <v>72</v>
      </c>
      <c r="W57" s="152"/>
      <c r="X57" s="152">
        <v>4</v>
      </c>
      <c r="Y57" s="152"/>
      <c r="Z57" s="152"/>
      <c r="AA57" s="152">
        <v>4</v>
      </c>
      <c r="AB57"/>
      <c r="AC57" s="3" t="s">
        <v>176</v>
      </c>
      <c r="AD57" s="152"/>
      <c r="AE57" s="152"/>
      <c r="AF57" s="152">
        <v>2</v>
      </c>
      <c r="AG57" s="152">
        <v>2</v>
      </c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1">
        <v>4</v>
      </c>
      <c r="AW57" s="3" t="s">
        <v>176</v>
      </c>
      <c r="AX57" s="151"/>
      <c r="AY57" s="151"/>
      <c r="AZ57" s="151">
        <v>2</v>
      </c>
      <c r="BA57" s="151">
        <v>2</v>
      </c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1"/>
      <c r="BW57" s="151"/>
      <c r="BX57" s="151"/>
      <c r="BY57" s="151"/>
      <c r="BZ57" s="151"/>
      <c r="CA57" s="151"/>
      <c r="CB57" s="151"/>
      <c r="CC57" s="151">
        <v>4</v>
      </c>
    </row>
    <row r="58" spans="1:81" x14ac:dyDescent="0.25">
      <c r="A58" s="13">
        <f>Tabell46[[#This Row],[RANK MÅL]]</f>
        <v>41</v>
      </c>
      <c r="B58" s="11" t="s">
        <v>138</v>
      </c>
      <c r="C58" s="12">
        <f>SUMIF('ALLA ÅR'!B:B,Tabell46[[#This Row],[Namn]],'ALLA ÅR'!C:C)</f>
        <v>20</v>
      </c>
      <c r="D58" s="12">
        <f>SUMIF('ALLA ÅR'!B:B,Tabell46[[#This Row],[Namn]],'ALLA ÅR'!E:E)</f>
        <v>0</v>
      </c>
      <c r="E58" s="12">
        <f>SUMIF('ALLA ÅR'!B:B,Tabell46[[#This Row],[Namn]],'ALLA ÅR'!F:F)</f>
        <v>0</v>
      </c>
      <c r="F58" s="12">
        <f>SUMIF('ALLA ÅR'!B:B,Tabell46[[#This Row],[Namn]],'ALLA ÅR'!G:G)</f>
        <v>4</v>
      </c>
      <c r="G58" s="12">
        <f>VLOOKUP(Tabell46[[#This Row],[Namn]],'ALLA ÅR'!B:J,9,0)</f>
        <v>2016</v>
      </c>
      <c r="H58" s="12">
        <f>COUNTIF('ALLA ÅR'!B:B,Tabell46[[#This Row],[Namn]])</f>
        <v>2</v>
      </c>
      <c r="I58" s="12">
        <f>VLOOKUP(Tabell46[[#This Row],[Namn]],'ALLA ÅR'!B:L,11,0)</f>
        <v>20</v>
      </c>
      <c r="J58" s="12">
        <f>RANK(Tabell46[[#This Row],[MÅL]],F:F)</f>
        <v>41</v>
      </c>
      <c r="K58" s="12">
        <f>RANK(Tabell46[[#This Row],[VAR]],D:D)</f>
        <v>44</v>
      </c>
      <c r="L58" s="12">
        <f>RANK(Tabell46[[#This Row],[MAT]],C:C)</f>
        <v>62</v>
      </c>
      <c r="M58" s="14">
        <f>Tabell46[[#This Row],[MAT]]/Tabell46[[#This Row],[ANTAL MATCHER]]</f>
        <v>0.58823529411764708</v>
      </c>
      <c r="N58" s="12">
        <f>SUMIF('ALLA ÅR'!B:B,Tabell46[[#This Row],[Namn]],'ALLA ÅR'!H:H)</f>
        <v>34</v>
      </c>
      <c r="O58" s="12">
        <f>RANK(Tabell46[[#This Row],[ÅLDER]],I:I)</f>
        <v>50</v>
      </c>
      <c r="P58" s="21">
        <f>Tabell46[[#This Row],[MÅL]]/Tabell46[[#This Row],[MAT]]</f>
        <v>0.2</v>
      </c>
      <c r="Q58" s="12">
        <f>_xlfn.XLOOKUP(Tabell46[[#This Row],[Namn]],V:V,W:W)</f>
        <v>0</v>
      </c>
      <c r="R58" s="12">
        <f>_xlfn.XLOOKUP(Tabell46[[#This Row],[Namn]],V:V,X:X)</f>
        <v>0</v>
      </c>
      <c r="S58" s="12">
        <f>_xlfn.XLOOKUP(Tabell46[[#This Row],[Namn]],V:V,Y:Y)</f>
        <v>0</v>
      </c>
      <c r="T58" s="12">
        <f>_xlfn.XLOOKUP(Tabell46[[#This Row],[Namn]],V:V,Z:Z)</f>
        <v>4</v>
      </c>
      <c r="V58" s="3" t="s">
        <v>137</v>
      </c>
      <c r="W58" s="152"/>
      <c r="X58" s="152"/>
      <c r="Y58" s="152"/>
      <c r="Z58" s="152">
        <v>4</v>
      </c>
      <c r="AA58" s="152">
        <v>4</v>
      </c>
      <c r="AB58"/>
      <c r="AC58" s="3" t="s">
        <v>137</v>
      </c>
      <c r="AD58" s="152"/>
      <c r="AE58" s="152"/>
      <c r="AF58" s="152">
        <v>0</v>
      </c>
      <c r="AG58" s="152">
        <v>2</v>
      </c>
      <c r="AH58" s="152">
        <v>1</v>
      </c>
      <c r="AI58" s="152">
        <v>0</v>
      </c>
      <c r="AJ58" s="152">
        <v>1</v>
      </c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1">
        <v>4</v>
      </c>
      <c r="AW58" s="3" t="s">
        <v>137</v>
      </c>
      <c r="AX58" s="151"/>
      <c r="AY58" s="151"/>
      <c r="AZ58" s="151"/>
      <c r="BA58" s="151">
        <v>0</v>
      </c>
      <c r="BB58" s="151">
        <v>2</v>
      </c>
      <c r="BC58" s="151">
        <v>1</v>
      </c>
      <c r="BD58" s="151">
        <v>0</v>
      </c>
      <c r="BE58" s="151">
        <v>1</v>
      </c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>
        <v>4</v>
      </c>
    </row>
    <row r="59" spans="1:81" x14ac:dyDescent="0.25">
      <c r="A59" s="15">
        <f>Tabell46[[#This Row],[RANK MÅL]]</f>
        <v>41</v>
      </c>
      <c r="B59" s="11" t="s">
        <v>176</v>
      </c>
      <c r="C59" s="12">
        <f>SUMIF('ALLA ÅR'!B:B,Tabell46[[#This Row],[Namn]],'ALLA ÅR'!C:C)</f>
        <v>22</v>
      </c>
      <c r="D59" s="12">
        <f>SUMIF('ALLA ÅR'!B:B,Tabell46[[#This Row],[Namn]],'ALLA ÅR'!E:E)</f>
        <v>1</v>
      </c>
      <c r="E59" s="12">
        <f>SUMIF('ALLA ÅR'!B:B,Tabell46[[#This Row],[Namn]],'ALLA ÅR'!F:F)</f>
        <v>0</v>
      </c>
      <c r="F59" s="12">
        <f>SUMIF('ALLA ÅR'!B:B,Tabell46[[#This Row],[Namn]],'ALLA ÅR'!G:G)</f>
        <v>4</v>
      </c>
      <c r="G59" s="12">
        <f>VLOOKUP(Tabell46[[#This Row],[Namn]],'ALLA ÅR'!B:J,9,0)</f>
        <v>2013</v>
      </c>
      <c r="H59" s="12">
        <f>COUNTIF('ALLA ÅR'!B:B,Tabell46[[#This Row],[Namn]])</f>
        <v>2</v>
      </c>
      <c r="I59" s="12">
        <f>VLOOKUP(Tabell46[[#This Row],[Namn]],'ALLA ÅR'!B:L,11,0)</f>
        <v>16</v>
      </c>
      <c r="J59" s="12">
        <f>RANK(Tabell46[[#This Row],[MÅL]],F:F)</f>
        <v>41</v>
      </c>
      <c r="K59" s="12">
        <f>RANK(Tabell46[[#This Row],[VAR]],D:D)</f>
        <v>25</v>
      </c>
      <c r="L59" s="12">
        <f>RANK(Tabell46[[#This Row],[MAT]],C:C)</f>
        <v>54</v>
      </c>
      <c r="M59" s="14">
        <f>Tabell46[[#This Row],[MAT]]/Tabell46[[#This Row],[ANTAL MATCHER]]</f>
        <v>0.6875</v>
      </c>
      <c r="N59" s="12">
        <f>SUMIF('ALLA ÅR'!B:B,Tabell46[[#This Row],[Namn]],'ALLA ÅR'!H:H)</f>
        <v>32</v>
      </c>
      <c r="O59" s="12">
        <f>RANK(Tabell46[[#This Row],[ÅLDER]],I:I)</f>
        <v>88</v>
      </c>
      <c r="P59" s="21">
        <f>Tabell46[[#This Row],[MÅL]]/Tabell46[[#This Row],[MAT]]</f>
        <v>0.18181818181818182</v>
      </c>
      <c r="Q59" s="12">
        <f>_xlfn.XLOOKUP(Tabell46[[#This Row],[Namn]],V:V,W:W)</f>
        <v>0</v>
      </c>
      <c r="R59" s="12">
        <f>_xlfn.XLOOKUP(Tabell46[[#This Row],[Namn]],V:V,X:X)</f>
        <v>0</v>
      </c>
      <c r="S59" s="12">
        <f>_xlfn.XLOOKUP(Tabell46[[#This Row],[Namn]],V:V,Y:Y)</f>
        <v>0</v>
      </c>
      <c r="T59" s="12">
        <f>_xlfn.XLOOKUP(Tabell46[[#This Row],[Namn]],V:V,Z:Z)</f>
        <v>4</v>
      </c>
      <c r="V59" s="3" t="s">
        <v>176</v>
      </c>
      <c r="W59" s="152"/>
      <c r="X59" s="152"/>
      <c r="Y59" s="152"/>
      <c r="Z59" s="152">
        <v>4</v>
      </c>
      <c r="AA59" s="152">
        <v>4</v>
      </c>
      <c r="AB59"/>
      <c r="AC59" s="3" t="s">
        <v>99</v>
      </c>
      <c r="AD59" s="152"/>
      <c r="AE59" s="152"/>
      <c r="AF59" s="152"/>
      <c r="AG59" s="152"/>
      <c r="AH59" s="152"/>
      <c r="AI59" s="152"/>
      <c r="AJ59" s="152"/>
      <c r="AK59" s="152"/>
      <c r="AL59" s="152"/>
      <c r="AM59" s="152">
        <v>4</v>
      </c>
      <c r="AN59" s="152">
        <v>0</v>
      </c>
      <c r="AO59" s="152"/>
      <c r="AP59" s="152"/>
      <c r="AQ59" s="152"/>
      <c r="AR59" s="152"/>
      <c r="AS59" s="152"/>
      <c r="AT59" s="152"/>
      <c r="AU59" s="151">
        <v>4</v>
      </c>
      <c r="AW59" s="3" t="s">
        <v>99</v>
      </c>
      <c r="AX59" s="151"/>
      <c r="AY59" s="151"/>
      <c r="AZ59" s="151"/>
      <c r="BA59" s="151"/>
      <c r="BB59" s="151"/>
      <c r="BC59" s="151"/>
      <c r="BD59" s="151"/>
      <c r="BE59" s="151"/>
      <c r="BF59" s="151">
        <v>4</v>
      </c>
      <c r="BG59" s="151">
        <v>0</v>
      </c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>
        <v>4</v>
      </c>
    </row>
    <row r="60" spans="1:81" x14ac:dyDescent="0.25">
      <c r="A60" s="13">
        <f>Tabell46[[#This Row],[RANK MÅL]]</f>
        <v>49</v>
      </c>
      <c r="B60" s="11" t="s">
        <v>45</v>
      </c>
      <c r="C60" s="12">
        <f>SUMIF('ALLA ÅR'!B:B,Tabell46[[#This Row],[Namn]],'ALLA ÅR'!C:C)</f>
        <v>4</v>
      </c>
      <c r="D60" s="12">
        <f>SUMIF('ALLA ÅR'!B:B,Tabell46[[#This Row],[Namn]],'ALLA ÅR'!E:E)</f>
        <v>0</v>
      </c>
      <c r="E60" s="12">
        <f>SUMIF('ALLA ÅR'!B:B,Tabell46[[#This Row],[Namn]],'ALLA ÅR'!F:F)</f>
        <v>0</v>
      </c>
      <c r="F60" s="12">
        <f>SUMIF('ALLA ÅR'!B:B,Tabell46[[#This Row],[Namn]],'ALLA ÅR'!G:G)</f>
        <v>3</v>
      </c>
      <c r="G60" s="12">
        <f>VLOOKUP(Tabell46[[#This Row],[Namn]],'ALLA ÅR'!B:J,9,0)</f>
        <v>2025</v>
      </c>
      <c r="H60" s="12">
        <f>COUNTIF('ALLA ÅR'!B:B,Tabell46[[#This Row],[Namn]])</f>
        <v>2</v>
      </c>
      <c r="I60" s="12">
        <f>VLOOKUP(Tabell46[[#This Row],[Namn]],'ALLA ÅR'!B:L,11,0)</f>
        <v>16</v>
      </c>
      <c r="J60" s="12">
        <f>RANK(Tabell46[[#This Row],[MÅL]],F:F)</f>
        <v>49</v>
      </c>
      <c r="K60" s="12">
        <f>RANK(Tabell46[[#This Row],[VAR]],D:D)</f>
        <v>44</v>
      </c>
      <c r="L60" s="12">
        <f>RANK(Tabell46[[#This Row],[MAT]],C:C)</f>
        <v>96</v>
      </c>
      <c r="M60" s="14">
        <f>Tabell46[[#This Row],[MAT]]/Tabell46[[#This Row],[ANTAL MATCHER]]</f>
        <v>0.12121212121212122</v>
      </c>
      <c r="N60" s="12">
        <f>SUMIF('ALLA ÅR'!B:B,Tabell46[[#This Row],[Namn]],'ALLA ÅR'!H:H)</f>
        <v>33</v>
      </c>
      <c r="O60" s="12">
        <f>RANK(Tabell46[[#This Row],[ÅLDER]],I:I)</f>
        <v>88</v>
      </c>
      <c r="P60" s="21">
        <f>Tabell46[[#This Row],[MÅL]]/Tabell46[[#This Row],[MAT]]</f>
        <v>0.75</v>
      </c>
      <c r="Q60" s="12">
        <f>_xlfn.XLOOKUP(Tabell46[[#This Row],[Namn]],V:V,W:W)</f>
        <v>0</v>
      </c>
      <c r="R60" s="12">
        <f>_xlfn.XLOOKUP(Tabell46[[#This Row],[Namn]],V:V,X:X)</f>
        <v>3</v>
      </c>
      <c r="S60" s="12">
        <f>_xlfn.XLOOKUP(Tabell46[[#This Row],[Namn]],V:V,Y:Y)</f>
        <v>0</v>
      </c>
      <c r="T60" s="12">
        <f>_xlfn.XLOOKUP(Tabell46[[#This Row],[Namn]],V:V,Z:Z)</f>
        <v>0</v>
      </c>
      <c r="V60" s="3" t="s">
        <v>162</v>
      </c>
      <c r="W60" s="152"/>
      <c r="X60" s="152"/>
      <c r="Y60" s="152"/>
      <c r="Z60" s="152">
        <v>3</v>
      </c>
      <c r="AA60" s="152">
        <v>3</v>
      </c>
      <c r="AB60"/>
      <c r="AC60" s="3" t="s">
        <v>61</v>
      </c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>
        <v>0</v>
      </c>
      <c r="AR60" s="152">
        <v>3</v>
      </c>
      <c r="AS60" s="152"/>
      <c r="AT60" s="152"/>
      <c r="AU60" s="151">
        <v>3</v>
      </c>
      <c r="AW60" s="3" t="s">
        <v>61</v>
      </c>
      <c r="AX60" s="151"/>
      <c r="AY60" s="151"/>
      <c r="AZ60" s="151"/>
      <c r="BA60" s="151"/>
      <c r="BB60" s="151"/>
      <c r="BC60" s="151"/>
      <c r="BD60" s="151"/>
      <c r="BE60" s="151">
        <v>0</v>
      </c>
      <c r="BF60" s="151">
        <v>3</v>
      </c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>
        <v>3</v>
      </c>
    </row>
    <row r="61" spans="1:81" x14ac:dyDescent="0.25">
      <c r="A61" s="15">
        <f>Tabell46[[#This Row],[RANK MÅL]]</f>
        <v>49</v>
      </c>
      <c r="B61" s="11" t="s">
        <v>46</v>
      </c>
      <c r="C61" s="12">
        <f>SUMIF('ALLA ÅR'!B:B,Tabell46[[#This Row],[Namn]],'ALLA ÅR'!C:C)</f>
        <v>7</v>
      </c>
      <c r="D61" s="12">
        <f>SUMIF('ALLA ÅR'!B:B,Tabell46[[#This Row],[Namn]],'ALLA ÅR'!E:E)</f>
        <v>0</v>
      </c>
      <c r="E61" s="12">
        <f>SUMIF('ALLA ÅR'!B:B,Tabell46[[#This Row],[Namn]],'ALLA ÅR'!F:F)</f>
        <v>0</v>
      </c>
      <c r="F61" s="12">
        <f>SUMIF('ALLA ÅR'!B:B,Tabell46[[#This Row],[Namn]],'ALLA ÅR'!G:G)</f>
        <v>3</v>
      </c>
      <c r="G61" s="12">
        <f>VLOOKUP(Tabell46[[#This Row],[Namn]],'ALLA ÅR'!B:J,9,0)</f>
        <v>2025</v>
      </c>
      <c r="H61" s="12">
        <f>COUNTIF('ALLA ÅR'!B:B,Tabell46[[#This Row],[Namn]])</f>
        <v>2</v>
      </c>
      <c r="I61" s="12">
        <f>VLOOKUP(Tabell46[[#This Row],[Namn]],'ALLA ÅR'!B:L,11,0)</f>
        <v>22</v>
      </c>
      <c r="J61" s="12">
        <f>RANK(Tabell46[[#This Row],[MÅL]],F:F)</f>
        <v>49</v>
      </c>
      <c r="K61" s="12">
        <f>RANK(Tabell46[[#This Row],[VAR]],D:D)</f>
        <v>44</v>
      </c>
      <c r="L61" s="12">
        <f>RANK(Tabell46[[#This Row],[MAT]],C:C)</f>
        <v>86</v>
      </c>
      <c r="M61" s="14">
        <f>Tabell46[[#This Row],[MAT]]/Tabell46[[#This Row],[ANTAL MATCHER]]</f>
        <v>0.21212121212121213</v>
      </c>
      <c r="N61" s="12">
        <f>SUMIF('ALLA ÅR'!B:B,Tabell46[[#This Row],[Namn]],'ALLA ÅR'!H:H)</f>
        <v>33</v>
      </c>
      <c r="O61" s="12">
        <f>RANK(Tabell46[[#This Row],[ÅLDER]],I:I)</f>
        <v>36</v>
      </c>
      <c r="P61" s="21">
        <f>Tabell46[[#This Row],[MÅL]]/Tabell46[[#This Row],[MAT]]</f>
        <v>0.42857142857142855</v>
      </c>
      <c r="Q61" s="12">
        <f>_xlfn.XLOOKUP(Tabell46[[#This Row],[Namn]],V:V,W:W)</f>
        <v>0</v>
      </c>
      <c r="R61" s="12">
        <f>_xlfn.XLOOKUP(Tabell46[[#This Row],[Namn]],V:V,X:X)</f>
        <v>3</v>
      </c>
      <c r="S61" s="12">
        <f>_xlfn.XLOOKUP(Tabell46[[#This Row],[Namn]],V:V,Y:Y)</f>
        <v>0</v>
      </c>
      <c r="T61" s="12">
        <f>_xlfn.XLOOKUP(Tabell46[[#This Row],[Namn]],V:V,Z:Z)</f>
        <v>0</v>
      </c>
      <c r="V61" s="3" t="s">
        <v>188</v>
      </c>
      <c r="W61" s="152"/>
      <c r="X61" s="152"/>
      <c r="Y61" s="152">
        <v>3</v>
      </c>
      <c r="Z61" s="152"/>
      <c r="AA61" s="152">
        <v>3</v>
      </c>
      <c r="AB61"/>
      <c r="AC61" s="3" t="s">
        <v>100</v>
      </c>
      <c r="AD61" s="152"/>
      <c r="AE61" s="152"/>
      <c r="AF61" s="152"/>
      <c r="AG61" s="152"/>
      <c r="AH61" s="152"/>
      <c r="AI61" s="152"/>
      <c r="AJ61" s="152"/>
      <c r="AK61" s="152"/>
      <c r="AL61" s="152">
        <v>2</v>
      </c>
      <c r="AM61" s="152">
        <v>1</v>
      </c>
      <c r="AN61" s="152">
        <v>0</v>
      </c>
      <c r="AO61" s="152"/>
      <c r="AP61" s="152"/>
      <c r="AQ61" s="152"/>
      <c r="AR61" s="152"/>
      <c r="AS61" s="152"/>
      <c r="AT61" s="152"/>
      <c r="AU61" s="151">
        <v>3</v>
      </c>
      <c r="AW61" s="3" t="s">
        <v>100</v>
      </c>
      <c r="AX61" s="151"/>
      <c r="AY61" s="151"/>
      <c r="AZ61" s="151"/>
      <c r="BA61" s="151"/>
      <c r="BB61" s="151"/>
      <c r="BC61" s="151"/>
      <c r="BD61" s="151"/>
      <c r="BE61" s="151">
        <v>2</v>
      </c>
      <c r="BF61" s="151">
        <v>1</v>
      </c>
      <c r="BG61" s="151">
        <v>0</v>
      </c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>
        <v>3</v>
      </c>
    </row>
    <row r="62" spans="1:81" x14ac:dyDescent="0.25">
      <c r="A62" s="13">
        <f>Tabell46[[#This Row],[RANK MÅL]]</f>
        <v>49</v>
      </c>
      <c r="B62" s="11" t="s">
        <v>61</v>
      </c>
      <c r="C62" s="12">
        <f>SUMIF('ALLA ÅR'!B:B,Tabell46[[#This Row],[Namn]],'ALLA ÅR'!C:C)</f>
        <v>22</v>
      </c>
      <c r="D62" s="12">
        <f>SUMIF('ALLA ÅR'!B:B,Tabell46[[#This Row],[Namn]],'ALLA ÅR'!E:E)</f>
        <v>1</v>
      </c>
      <c r="E62" s="12">
        <f>SUMIF('ALLA ÅR'!B:B,Tabell46[[#This Row],[Namn]],'ALLA ÅR'!F:F)</f>
        <v>0</v>
      </c>
      <c r="F62" s="12">
        <f>SUMIF('ALLA ÅR'!B:B,Tabell46[[#This Row],[Namn]],'ALLA ÅR'!G:G)</f>
        <v>3</v>
      </c>
      <c r="G62" s="12">
        <f>VLOOKUP(Tabell46[[#This Row],[Namn]],'ALLA ÅR'!B:J,9,0)</f>
        <v>2024</v>
      </c>
      <c r="H62" s="12">
        <f>COUNTIF('ALLA ÅR'!B:B,Tabell46[[#This Row],[Namn]])</f>
        <v>2</v>
      </c>
      <c r="I62" s="12">
        <f>VLOOKUP(Tabell46[[#This Row],[Namn]],'ALLA ÅR'!B:L,11,0)</f>
        <v>21</v>
      </c>
      <c r="J62" s="12">
        <f>RANK(Tabell46[[#This Row],[MÅL]],F:F)</f>
        <v>49</v>
      </c>
      <c r="K62" s="12">
        <f>RANK(Tabell46[[#This Row],[VAR]],D:D)</f>
        <v>25</v>
      </c>
      <c r="L62" s="12">
        <f>RANK(Tabell46[[#This Row],[MAT]],C:C)</f>
        <v>54</v>
      </c>
      <c r="M62" s="14">
        <f>Tabell46[[#This Row],[MAT]]/Tabell46[[#This Row],[ANTAL MATCHER]]</f>
        <v>0.43137254901960786</v>
      </c>
      <c r="N62" s="12">
        <f>SUMIF('ALLA ÅR'!B:B,Tabell46[[#This Row],[Namn]],'ALLA ÅR'!H:H)</f>
        <v>51</v>
      </c>
      <c r="O62" s="12">
        <f>RANK(Tabell46[[#This Row],[ÅLDER]],I:I)</f>
        <v>42</v>
      </c>
      <c r="P62" s="21">
        <f>Tabell46[[#This Row],[MÅL]]/Tabell46[[#This Row],[MAT]]</f>
        <v>0.13636363636363635</v>
      </c>
      <c r="Q62" s="12">
        <f>_xlfn.XLOOKUP(Tabell46[[#This Row],[Namn]],V:V,W:W)</f>
        <v>0</v>
      </c>
      <c r="R62" s="12">
        <f>_xlfn.XLOOKUP(Tabell46[[#This Row],[Namn]],V:V,X:X)</f>
        <v>3</v>
      </c>
      <c r="S62" s="12">
        <f>_xlfn.XLOOKUP(Tabell46[[#This Row],[Namn]],V:V,Y:Y)</f>
        <v>0</v>
      </c>
      <c r="T62" s="12">
        <f>_xlfn.XLOOKUP(Tabell46[[#This Row],[Namn]],V:V,Z:Z)</f>
        <v>0</v>
      </c>
      <c r="V62" s="3" t="s">
        <v>205</v>
      </c>
      <c r="W62" s="152"/>
      <c r="X62" s="152"/>
      <c r="Y62" s="152">
        <v>3</v>
      </c>
      <c r="Z62" s="152"/>
      <c r="AA62" s="152">
        <v>3</v>
      </c>
      <c r="AB62"/>
      <c r="AC62" s="3" t="s">
        <v>162</v>
      </c>
      <c r="AD62" s="152"/>
      <c r="AE62" s="152"/>
      <c r="AF62" s="152"/>
      <c r="AG62" s="152">
        <v>2</v>
      </c>
      <c r="AH62" s="152">
        <v>1</v>
      </c>
      <c r="AI62" s="152">
        <v>0</v>
      </c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1">
        <v>3</v>
      </c>
      <c r="AW62" s="3" t="s">
        <v>162</v>
      </c>
      <c r="AX62" s="151"/>
      <c r="AY62" s="151"/>
      <c r="AZ62" s="151"/>
      <c r="BA62" s="151"/>
      <c r="BB62" s="151"/>
      <c r="BC62" s="151">
        <v>2</v>
      </c>
      <c r="BD62" s="151">
        <v>1</v>
      </c>
      <c r="BE62" s="151">
        <v>0</v>
      </c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>
        <v>3</v>
      </c>
    </row>
    <row r="63" spans="1:81" x14ac:dyDescent="0.25">
      <c r="A63" s="15">
        <f>Tabell46[[#This Row],[RANK MÅL]]</f>
        <v>49</v>
      </c>
      <c r="B63" s="11" t="s">
        <v>100</v>
      </c>
      <c r="C63" s="12">
        <f>SUMIF('ALLA ÅR'!B:B,Tabell46[[#This Row],[Namn]],'ALLA ÅR'!C:C)</f>
        <v>46</v>
      </c>
      <c r="D63" s="12">
        <f>SUMIF('ALLA ÅR'!B:B,Tabell46[[#This Row],[Namn]],'ALLA ÅR'!E:E)</f>
        <v>5</v>
      </c>
      <c r="E63" s="12">
        <f>SUMIF('ALLA ÅR'!B:B,Tabell46[[#This Row],[Namn]],'ALLA ÅR'!F:F)</f>
        <v>0</v>
      </c>
      <c r="F63" s="12">
        <f>SUMIF('ALLA ÅR'!B:B,Tabell46[[#This Row],[Namn]],'ALLA ÅR'!G:G)</f>
        <v>3</v>
      </c>
      <c r="G63" s="12">
        <f>VLOOKUP(Tabell46[[#This Row],[Namn]],'ALLA ÅR'!B:J,9,0)</f>
        <v>2020</v>
      </c>
      <c r="H63" s="12">
        <f>COUNTIF('ALLA ÅR'!B:B,Tabell46[[#This Row],[Namn]])</f>
        <v>3</v>
      </c>
      <c r="I63" s="12">
        <f>VLOOKUP(Tabell46[[#This Row],[Namn]],'ALLA ÅR'!B:L,11,0)</f>
        <v>22</v>
      </c>
      <c r="J63" s="12">
        <f>RANK(Tabell46[[#This Row],[MÅL]],F:F)</f>
        <v>49</v>
      </c>
      <c r="K63" s="12">
        <f>RANK(Tabell46[[#This Row],[VAR]],D:D)</f>
        <v>4</v>
      </c>
      <c r="L63" s="12">
        <f>RANK(Tabell46[[#This Row],[MAT]],C:C)</f>
        <v>21</v>
      </c>
      <c r="M63" s="14">
        <f>Tabell46[[#This Row],[MAT]]/Tabell46[[#This Row],[ANTAL MATCHER]]</f>
        <v>0.85185185185185186</v>
      </c>
      <c r="N63" s="12">
        <f>SUMIF('ALLA ÅR'!B:B,Tabell46[[#This Row],[Namn]],'ALLA ÅR'!H:H)</f>
        <v>54</v>
      </c>
      <c r="O63" s="12">
        <f>RANK(Tabell46[[#This Row],[ÅLDER]],I:I)</f>
        <v>36</v>
      </c>
      <c r="P63" s="21">
        <f>Tabell46[[#This Row],[MÅL]]/Tabell46[[#This Row],[MAT]]</f>
        <v>6.5217391304347824E-2</v>
      </c>
      <c r="Q63" s="12">
        <f>_xlfn.XLOOKUP(Tabell46[[#This Row],[Namn]],V:V,W:W)</f>
        <v>0</v>
      </c>
      <c r="R63" s="12">
        <f>_xlfn.XLOOKUP(Tabell46[[#This Row],[Namn]],V:V,X:X)</f>
        <v>3</v>
      </c>
      <c r="S63" s="12">
        <f>_xlfn.XLOOKUP(Tabell46[[#This Row],[Namn]],V:V,Y:Y)</f>
        <v>0</v>
      </c>
      <c r="T63" s="12">
        <f>_xlfn.XLOOKUP(Tabell46[[#This Row],[Namn]],V:V,Z:Z)</f>
        <v>0</v>
      </c>
      <c r="V63" s="3" t="s">
        <v>118</v>
      </c>
      <c r="W63" s="152"/>
      <c r="X63" s="152"/>
      <c r="Y63" s="152">
        <v>3</v>
      </c>
      <c r="Z63" s="152"/>
      <c r="AA63" s="152">
        <v>3</v>
      </c>
      <c r="AB63"/>
      <c r="AC63" s="3" t="s">
        <v>46</v>
      </c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>
        <v>2</v>
      </c>
      <c r="AS63" s="152">
        <v>1</v>
      </c>
      <c r="AT63" s="152"/>
      <c r="AU63" s="151">
        <v>3</v>
      </c>
      <c r="AW63" s="3" t="s">
        <v>46</v>
      </c>
      <c r="AX63" s="151"/>
      <c r="AY63" s="151"/>
      <c r="AZ63" s="151"/>
      <c r="BA63" s="151"/>
      <c r="BB63" s="151"/>
      <c r="BC63" s="151"/>
      <c r="BD63" s="151"/>
      <c r="BE63" s="151"/>
      <c r="BF63" s="151">
        <v>2</v>
      </c>
      <c r="BG63" s="151">
        <v>1</v>
      </c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>
        <v>3</v>
      </c>
    </row>
    <row r="64" spans="1:81" x14ac:dyDescent="0.25">
      <c r="A64" s="13">
        <f>Tabell46[[#This Row],[RANK MÅL]]</f>
        <v>49</v>
      </c>
      <c r="B64" s="11" t="s">
        <v>118</v>
      </c>
      <c r="C64" s="12">
        <f>SUMIF('ALLA ÅR'!B:B,Tabell46[[#This Row],[Namn]],'ALLA ÅR'!C:C)</f>
        <v>13</v>
      </c>
      <c r="D64" s="12">
        <f>SUMIF('ALLA ÅR'!B:B,Tabell46[[#This Row],[Namn]],'ALLA ÅR'!E:E)</f>
        <v>0</v>
      </c>
      <c r="E64" s="12">
        <f>SUMIF('ALLA ÅR'!B:B,Tabell46[[#This Row],[Namn]],'ALLA ÅR'!F:F)</f>
        <v>0</v>
      </c>
      <c r="F64" s="12">
        <f>SUMIF('ALLA ÅR'!B:B,Tabell46[[#This Row],[Namn]],'ALLA ÅR'!G:G)</f>
        <v>3</v>
      </c>
      <c r="G64" s="12">
        <f>VLOOKUP(Tabell46[[#This Row],[Namn]],'ALLA ÅR'!B:J,9,0)</f>
        <v>2017</v>
      </c>
      <c r="H64" s="12">
        <f>COUNTIF('ALLA ÅR'!B:B,Tabell46[[#This Row],[Namn]])</f>
        <v>1</v>
      </c>
      <c r="I64" s="12">
        <f>VLOOKUP(Tabell46[[#This Row],[Namn]],'ALLA ÅR'!B:L,11,0)</f>
        <v>18</v>
      </c>
      <c r="J64" s="12">
        <f>RANK(Tabell46[[#This Row],[MÅL]],F:F)</f>
        <v>49</v>
      </c>
      <c r="K64" s="12">
        <f>RANK(Tabell46[[#This Row],[VAR]],D:D)</f>
        <v>44</v>
      </c>
      <c r="L64" s="12">
        <f>RANK(Tabell46[[#This Row],[MAT]],C:C)</f>
        <v>73</v>
      </c>
      <c r="M64" s="14">
        <f>Tabell46[[#This Row],[MAT]]/Tabell46[[#This Row],[ANTAL MATCHER]]</f>
        <v>0.8125</v>
      </c>
      <c r="N64" s="12">
        <f>SUMIF('ALLA ÅR'!B:B,Tabell46[[#This Row],[Namn]],'ALLA ÅR'!H:H)</f>
        <v>16</v>
      </c>
      <c r="O64" s="12">
        <f>RANK(Tabell46[[#This Row],[ÅLDER]],I:I)</f>
        <v>72</v>
      </c>
      <c r="P64" s="21">
        <f>Tabell46[[#This Row],[MÅL]]/Tabell46[[#This Row],[MAT]]</f>
        <v>0.23076923076923078</v>
      </c>
      <c r="Q64" s="12">
        <f>_xlfn.XLOOKUP(Tabell46[[#This Row],[Namn]],V:V,W:W)</f>
        <v>0</v>
      </c>
      <c r="R64" s="12">
        <f>_xlfn.XLOOKUP(Tabell46[[#This Row],[Namn]],V:V,X:X)</f>
        <v>0</v>
      </c>
      <c r="S64" s="12">
        <f>_xlfn.XLOOKUP(Tabell46[[#This Row],[Namn]],V:V,Y:Y)</f>
        <v>3</v>
      </c>
      <c r="T64" s="12">
        <f>_xlfn.XLOOKUP(Tabell46[[#This Row],[Namn]],V:V,Z:Z)</f>
        <v>0</v>
      </c>
      <c r="V64" s="3" t="s">
        <v>61</v>
      </c>
      <c r="W64" s="152"/>
      <c r="X64" s="152">
        <v>3</v>
      </c>
      <c r="Y64" s="152"/>
      <c r="Z64" s="152"/>
      <c r="AA64" s="152">
        <v>3</v>
      </c>
      <c r="AB64"/>
      <c r="AC64" s="3" t="s">
        <v>154</v>
      </c>
      <c r="AD64" s="152"/>
      <c r="AE64" s="152"/>
      <c r="AF64" s="152"/>
      <c r="AG64" s="152"/>
      <c r="AH64" s="152"/>
      <c r="AI64" s="152">
        <v>3</v>
      </c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1">
        <v>3</v>
      </c>
      <c r="AW64" s="3" t="s">
        <v>154</v>
      </c>
      <c r="AX64" s="151"/>
      <c r="AY64" s="151"/>
      <c r="AZ64" s="151"/>
      <c r="BA64" s="151">
        <v>3</v>
      </c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1"/>
      <c r="BN64" s="151"/>
      <c r="BO64" s="151"/>
      <c r="BP64" s="151"/>
      <c r="BQ64" s="151"/>
      <c r="BR64" s="151"/>
      <c r="BS64" s="151"/>
      <c r="BT64" s="151"/>
      <c r="BU64" s="151"/>
      <c r="BV64" s="151"/>
      <c r="BW64" s="151"/>
      <c r="BX64" s="151"/>
      <c r="BY64" s="151"/>
      <c r="BZ64" s="151"/>
      <c r="CA64" s="151"/>
      <c r="CB64" s="151"/>
      <c r="CC64" s="151">
        <v>3</v>
      </c>
    </row>
    <row r="65" spans="1:81" x14ac:dyDescent="0.25">
      <c r="A65" s="15">
        <f>Tabell46[[#This Row],[RANK MÅL]]</f>
        <v>49</v>
      </c>
      <c r="B65" s="11" t="s">
        <v>154</v>
      </c>
      <c r="C65" s="12">
        <f>SUMIF('ALLA ÅR'!B:B,Tabell46[[#This Row],[Namn]],'ALLA ÅR'!C:C)</f>
        <v>9</v>
      </c>
      <c r="D65" s="12">
        <f>SUMIF('ALLA ÅR'!B:B,Tabell46[[#This Row],[Namn]],'ALLA ÅR'!E:E)</f>
        <v>0</v>
      </c>
      <c r="E65" s="12">
        <f>SUMIF('ALLA ÅR'!B:B,Tabell46[[#This Row],[Namn]],'ALLA ÅR'!F:F)</f>
        <v>0</v>
      </c>
      <c r="F65" s="12">
        <f>SUMIF('ALLA ÅR'!B:B,Tabell46[[#This Row],[Namn]],'ALLA ÅR'!G:G)</f>
        <v>3</v>
      </c>
      <c r="G65" s="12">
        <f>VLOOKUP(Tabell46[[#This Row],[Namn]],'ALLA ÅR'!B:J,9,0)</f>
        <v>2015</v>
      </c>
      <c r="H65" s="12">
        <f>COUNTIF('ALLA ÅR'!B:B,Tabell46[[#This Row],[Namn]])</f>
        <v>1</v>
      </c>
      <c r="I65" s="12">
        <f>VLOOKUP(Tabell46[[#This Row],[Namn]],'ALLA ÅR'!B:L,11,0)</f>
        <v>16</v>
      </c>
      <c r="J65" s="12">
        <f>RANK(Tabell46[[#This Row],[MÅL]],F:F)</f>
        <v>49</v>
      </c>
      <c r="K65" s="12">
        <f>RANK(Tabell46[[#This Row],[VAR]],D:D)</f>
        <v>44</v>
      </c>
      <c r="L65" s="12">
        <f>RANK(Tabell46[[#This Row],[MAT]],C:C)</f>
        <v>81</v>
      </c>
      <c r="M65" s="14">
        <f>Tabell46[[#This Row],[MAT]]/Tabell46[[#This Row],[ANTAL MATCHER]]</f>
        <v>0.39130434782608697</v>
      </c>
      <c r="N65" s="12">
        <f>SUMIF('ALLA ÅR'!B:B,Tabell46[[#This Row],[Namn]],'ALLA ÅR'!H:H)</f>
        <v>23</v>
      </c>
      <c r="O65" s="12">
        <f>RANK(Tabell46[[#This Row],[ÅLDER]],I:I)</f>
        <v>88</v>
      </c>
      <c r="P65" s="21">
        <f>Tabell46[[#This Row],[MÅL]]/Tabell46[[#This Row],[MAT]]</f>
        <v>0.33333333333333331</v>
      </c>
      <c r="Q65" s="12">
        <f>_xlfn.XLOOKUP(Tabell46[[#This Row],[Namn]],V:V,W:W)</f>
        <v>0</v>
      </c>
      <c r="R65" s="12">
        <f>_xlfn.XLOOKUP(Tabell46[[#This Row],[Namn]],V:V,X:X)</f>
        <v>0</v>
      </c>
      <c r="S65" s="12">
        <f>_xlfn.XLOOKUP(Tabell46[[#This Row],[Namn]],V:V,Y:Y)</f>
        <v>0</v>
      </c>
      <c r="T65" s="12">
        <f>_xlfn.XLOOKUP(Tabell46[[#This Row],[Namn]],V:V,Z:Z)</f>
        <v>3</v>
      </c>
      <c r="V65" s="3" t="s">
        <v>46</v>
      </c>
      <c r="W65" s="152"/>
      <c r="X65" s="152">
        <v>3</v>
      </c>
      <c r="Y65" s="152"/>
      <c r="Z65" s="152"/>
      <c r="AA65" s="152">
        <v>3</v>
      </c>
      <c r="AB65"/>
      <c r="AC65" s="3" t="s">
        <v>205</v>
      </c>
      <c r="AD65" s="152">
        <v>3</v>
      </c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1">
        <v>3</v>
      </c>
      <c r="AW65" s="3" t="s">
        <v>205</v>
      </c>
      <c r="AX65" s="151"/>
      <c r="AY65" s="151"/>
      <c r="AZ65" s="151"/>
      <c r="BA65" s="151"/>
      <c r="BB65" s="151"/>
      <c r="BC65" s="151"/>
      <c r="BD65" s="151"/>
      <c r="BE65" s="151"/>
      <c r="BF65" s="151">
        <v>3</v>
      </c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>
        <v>3</v>
      </c>
    </row>
    <row r="66" spans="1:81" x14ac:dyDescent="0.25">
      <c r="A66" s="13">
        <f>Tabell46[[#This Row],[RANK MÅL]]</f>
        <v>49</v>
      </c>
      <c r="B66" s="11" t="s">
        <v>162</v>
      </c>
      <c r="C66" s="12">
        <f>SUMIF('ALLA ÅR'!B:B,Tabell46[[#This Row],[Namn]],'ALLA ÅR'!C:C)</f>
        <v>28</v>
      </c>
      <c r="D66" s="12">
        <f>SUMIF('ALLA ÅR'!B:B,Tabell46[[#This Row],[Namn]],'ALLA ÅR'!E:E)</f>
        <v>0</v>
      </c>
      <c r="E66" s="12">
        <f>SUMIF('ALLA ÅR'!B:B,Tabell46[[#This Row],[Namn]],'ALLA ÅR'!F:F)</f>
        <v>0</v>
      </c>
      <c r="F66" s="12">
        <f>SUMIF('ALLA ÅR'!B:B,Tabell46[[#This Row],[Namn]],'ALLA ÅR'!G:G)</f>
        <v>3</v>
      </c>
      <c r="G66" s="12">
        <f>VLOOKUP(Tabell46[[#This Row],[Namn]],'ALLA ÅR'!B:J,9,0)</f>
        <v>2015</v>
      </c>
      <c r="H66" s="12">
        <f>COUNTIF('ALLA ÅR'!B:B,Tabell46[[#This Row],[Namn]])</f>
        <v>3</v>
      </c>
      <c r="I66" s="12">
        <f>VLOOKUP(Tabell46[[#This Row],[Namn]],'ALLA ÅR'!B:L,11,0)</f>
        <v>20</v>
      </c>
      <c r="J66" s="12">
        <f>RANK(Tabell46[[#This Row],[MÅL]],F:F)</f>
        <v>49</v>
      </c>
      <c r="K66" s="12">
        <f>RANK(Tabell46[[#This Row],[VAR]],D:D)</f>
        <v>44</v>
      </c>
      <c r="L66" s="12">
        <f>RANK(Tabell46[[#This Row],[MAT]],C:C)</f>
        <v>43</v>
      </c>
      <c r="M66" s="14">
        <f>Tabell46[[#This Row],[MAT]]/Tabell46[[#This Row],[ANTAL MATCHER]]</f>
        <v>0.52830188679245282</v>
      </c>
      <c r="N66" s="12">
        <f>SUMIF('ALLA ÅR'!B:B,Tabell46[[#This Row],[Namn]],'ALLA ÅR'!H:H)</f>
        <v>53</v>
      </c>
      <c r="O66" s="12">
        <f>RANK(Tabell46[[#This Row],[ÅLDER]],I:I)</f>
        <v>50</v>
      </c>
      <c r="P66" s="21">
        <f>Tabell46[[#This Row],[MÅL]]/Tabell46[[#This Row],[MAT]]</f>
        <v>0.10714285714285714</v>
      </c>
      <c r="Q66" s="12">
        <f>_xlfn.XLOOKUP(Tabell46[[#This Row],[Namn]],V:V,W:W)</f>
        <v>0</v>
      </c>
      <c r="R66" s="12">
        <f>_xlfn.XLOOKUP(Tabell46[[#This Row],[Namn]],V:V,X:X)</f>
        <v>0</v>
      </c>
      <c r="S66" s="12">
        <f>_xlfn.XLOOKUP(Tabell46[[#This Row],[Namn]],V:V,Y:Y)</f>
        <v>0</v>
      </c>
      <c r="T66" s="12">
        <f>_xlfn.XLOOKUP(Tabell46[[#This Row],[Namn]],V:V,Z:Z)</f>
        <v>3</v>
      </c>
      <c r="V66" s="3" t="s">
        <v>183</v>
      </c>
      <c r="W66" s="152"/>
      <c r="X66" s="152"/>
      <c r="Y66" s="152">
        <v>3</v>
      </c>
      <c r="Z66" s="152"/>
      <c r="AA66" s="152">
        <v>3</v>
      </c>
      <c r="AB66"/>
      <c r="AC66" s="3" t="s">
        <v>183</v>
      </c>
      <c r="AD66" s="152">
        <v>0</v>
      </c>
      <c r="AE66" s="152">
        <v>3</v>
      </c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1">
        <v>3</v>
      </c>
      <c r="AW66" s="3" t="s">
        <v>183</v>
      </c>
      <c r="AX66" s="151"/>
      <c r="AY66" s="151"/>
      <c r="AZ66" s="151"/>
      <c r="BA66" s="151"/>
      <c r="BB66" s="151"/>
      <c r="BC66" s="151"/>
      <c r="BD66" s="151">
        <v>0</v>
      </c>
      <c r="BE66" s="151">
        <v>3</v>
      </c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>
        <v>3</v>
      </c>
    </row>
    <row r="67" spans="1:81" x14ac:dyDescent="0.25">
      <c r="A67" s="15">
        <f>Tabell46[[#This Row],[RANK MÅL]]</f>
        <v>49</v>
      </c>
      <c r="B67" s="11" t="s">
        <v>183</v>
      </c>
      <c r="C67" s="12">
        <f>SUMIF('ALLA ÅR'!B:B,Tabell46[[#This Row],[Namn]],'ALLA ÅR'!C:C)</f>
        <v>43</v>
      </c>
      <c r="D67" s="12">
        <f>SUMIF('ALLA ÅR'!B:B,Tabell46[[#This Row],[Namn]],'ALLA ÅR'!E:E)</f>
        <v>1</v>
      </c>
      <c r="E67" s="12">
        <f>SUMIF('ALLA ÅR'!B:B,Tabell46[[#This Row],[Namn]],'ALLA ÅR'!F:F)</f>
        <v>0</v>
      </c>
      <c r="F67" s="12">
        <f>SUMIF('ALLA ÅR'!B:B,Tabell46[[#This Row],[Namn]],'ALLA ÅR'!G:G)</f>
        <v>3</v>
      </c>
      <c r="G67" s="12">
        <f>VLOOKUP(Tabell46[[#This Row],[Namn]],'ALLA ÅR'!B:J,9,0)</f>
        <v>2011</v>
      </c>
      <c r="H67" s="12">
        <f>COUNTIF('ALLA ÅR'!B:B,Tabell46[[#This Row],[Namn]])</f>
        <v>2</v>
      </c>
      <c r="I67" s="12">
        <f>VLOOKUP(Tabell46[[#This Row],[Namn]],'ALLA ÅR'!B:L,11,0)</f>
        <v>20</v>
      </c>
      <c r="J67" s="12">
        <f>RANK(Tabell46[[#This Row],[MÅL]],F:F)</f>
        <v>49</v>
      </c>
      <c r="K67" s="12">
        <f>RANK(Tabell46[[#This Row],[VAR]],D:D)</f>
        <v>25</v>
      </c>
      <c r="L67" s="12">
        <f>RANK(Tabell46[[#This Row],[MAT]],C:C)</f>
        <v>25</v>
      </c>
      <c r="M67" s="14">
        <f>Tabell46[[#This Row],[MAT]]/Tabell46[[#This Row],[ANTAL MATCHER]]</f>
        <v>0.93478260869565222</v>
      </c>
      <c r="N67" s="12">
        <f>SUMIF('ALLA ÅR'!B:B,Tabell46[[#This Row],[Namn]],'ALLA ÅR'!H:H)</f>
        <v>46</v>
      </c>
      <c r="O67" s="12">
        <f>RANK(Tabell46[[#This Row],[ÅLDER]],I:I)</f>
        <v>50</v>
      </c>
      <c r="P67" s="21">
        <f>Tabell46[[#This Row],[MÅL]]/Tabell46[[#This Row],[MAT]]</f>
        <v>6.9767441860465115E-2</v>
      </c>
      <c r="Q67" s="12">
        <f>_xlfn.XLOOKUP(Tabell46[[#This Row],[Namn]],V:V,W:W)</f>
        <v>0</v>
      </c>
      <c r="R67" s="12">
        <f>_xlfn.XLOOKUP(Tabell46[[#This Row],[Namn]],V:V,X:X)</f>
        <v>0</v>
      </c>
      <c r="S67" s="12">
        <f>_xlfn.XLOOKUP(Tabell46[[#This Row],[Namn]],V:V,Y:Y)</f>
        <v>3</v>
      </c>
      <c r="T67" s="12">
        <f>_xlfn.XLOOKUP(Tabell46[[#This Row],[Namn]],V:V,Z:Z)</f>
        <v>0</v>
      </c>
      <c r="V67" s="3" t="s">
        <v>45</v>
      </c>
      <c r="W67" s="152"/>
      <c r="X67" s="152">
        <v>3</v>
      </c>
      <c r="Y67" s="152"/>
      <c r="Z67" s="152"/>
      <c r="AA67" s="152">
        <v>3</v>
      </c>
      <c r="AB67"/>
      <c r="AC67" s="3" t="s">
        <v>118</v>
      </c>
      <c r="AD67" s="152"/>
      <c r="AE67" s="152"/>
      <c r="AF67" s="152"/>
      <c r="AG67" s="152"/>
      <c r="AH67" s="152"/>
      <c r="AI67" s="152"/>
      <c r="AJ67" s="152"/>
      <c r="AK67" s="152">
        <v>3</v>
      </c>
      <c r="AL67" s="152"/>
      <c r="AM67" s="152"/>
      <c r="AN67" s="152"/>
      <c r="AO67" s="152"/>
      <c r="AP67" s="152"/>
      <c r="AQ67" s="152"/>
      <c r="AR67" s="152"/>
      <c r="AS67" s="152"/>
      <c r="AT67" s="152"/>
      <c r="AU67" s="151">
        <v>3</v>
      </c>
      <c r="AW67" s="3" t="s">
        <v>118</v>
      </c>
      <c r="AX67" s="151"/>
      <c r="AY67" s="151"/>
      <c r="AZ67" s="151"/>
      <c r="BA67" s="151"/>
      <c r="BB67" s="151"/>
      <c r="BC67" s="151">
        <v>3</v>
      </c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>
        <v>3</v>
      </c>
    </row>
    <row r="68" spans="1:81" x14ac:dyDescent="0.25">
      <c r="A68" s="13">
        <f>Tabell46[[#This Row],[RANK MÅL]]</f>
        <v>49</v>
      </c>
      <c r="B68" s="11" t="s">
        <v>188</v>
      </c>
      <c r="C68" s="12">
        <f>SUMIF('ALLA ÅR'!B:B,Tabell46[[#This Row],[Namn]],'ALLA ÅR'!C:C)</f>
        <v>27</v>
      </c>
      <c r="D68" s="12">
        <f>SUMIF('ALLA ÅR'!B:B,Tabell46[[#This Row],[Namn]],'ALLA ÅR'!E:E)</f>
        <v>3</v>
      </c>
      <c r="E68" s="12">
        <f>SUMIF('ALLA ÅR'!B:B,Tabell46[[#This Row],[Namn]],'ALLA ÅR'!F:F)</f>
        <v>0</v>
      </c>
      <c r="F68" s="12">
        <f>SUMIF('ALLA ÅR'!B:B,Tabell46[[#This Row],[Namn]],'ALLA ÅR'!G:G)</f>
        <v>3</v>
      </c>
      <c r="G68" s="12">
        <f>VLOOKUP(Tabell46[[#This Row],[Namn]],'ALLA ÅR'!B:J,9,0)</f>
        <v>2011</v>
      </c>
      <c r="H68" s="12">
        <f>COUNTIF('ALLA ÅR'!B:B,Tabell46[[#This Row],[Namn]])</f>
        <v>2</v>
      </c>
      <c r="I68" s="12">
        <f>VLOOKUP(Tabell46[[#This Row],[Namn]],'ALLA ÅR'!B:L,11,0)</f>
        <v>22</v>
      </c>
      <c r="J68" s="12">
        <f>RANK(Tabell46[[#This Row],[MÅL]],F:F)</f>
        <v>49</v>
      </c>
      <c r="K68" s="12">
        <f>RANK(Tabell46[[#This Row],[VAR]],D:D)</f>
        <v>10</v>
      </c>
      <c r="L68" s="12">
        <f>RANK(Tabell46[[#This Row],[MAT]],C:C)</f>
        <v>45</v>
      </c>
      <c r="M68" s="14">
        <f>Tabell46[[#This Row],[MAT]]/Tabell46[[#This Row],[ANTAL MATCHER]]</f>
        <v>0.58695652173913049</v>
      </c>
      <c r="N68" s="12">
        <f>SUMIF('ALLA ÅR'!B:B,Tabell46[[#This Row],[Namn]],'ALLA ÅR'!H:H)</f>
        <v>46</v>
      </c>
      <c r="O68" s="12">
        <f>RANK(Tabell46[[#This Row],[ÅLDER]],I:I)</f>
        <v>36</v>
      </c>
      <c r="P68" s="21">
        <f>Tabell46[[#This Row],[MÅL]]/Tabell46[[#This Row],[MAT]]</f>
        <v>0.1111111111111111</v>
      </c>
      <c r="Q68" s="12">
        <f>_xlfn.XLOOKUP(Tabell46[[#This Row],[Namn]],V:V,W:W)</f>
        <v>0</v>
      </c>
      <c r="R68" s="12">
        <f>_xlfn.XLOOKUP(Tabell46[[#This Row],[Namn]],V:V,X:X)</f>
        <v>0</v>
      </c>
      <c r="S68" s="12">
        <f>_xlfn.XLOOKUP(Tabell46[[#This Row],[Namn]],V:V,Y:Y)</f>
        <v>3</v>
      </c>
      <c r="T68" s="12">
        <f>_xlfn.XLOOKUP(Tabell46[[#This Row],[Namn]],V:V,Z:Z)</f>
        <v>0</v>
      </c>
      <c r="V68" s="3" t="s">
        <v>154</v>
      </c>
      <c r="W68" s="152"/>
      <c r="X68" s="152"/>
      <c r="Y68" s="152"/>
      <c r="Z68" s="152">
        <v>3</v>
      </c>
      <c r="AA68" s="152">
        <v>3</v>
      </c>
      <c r="AB68"/>
      <c r="AC68" s="3" t="s">
        <v>45</v>
      </c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>
        <v>0</v>
      </c>
      <c r="AS68" s="152">
        <v>3</v>
      </c>
      <c r="AT68" s="152"/>
      <c r="AU68" s="151">
        <v>3</v>
      </c>
      <c r="AW68" s="3" t="s">
        <v>45</v>
      </c>
      <c r="AX68" s="151"/>
      <c r="AY68" s="151"/>
      <c r="AZ68" s="151">
        <v>0</v>
      </c>
      <c r="BA68" s="151">
        <v>3</v>
      </c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>
        <v>3</v>
      </c>
    </row>
    <row r="69" spans="1:81" x14ac:dyDescent="0.25">
      <c r="A69" s="15">
        <f>Tabell46[[#This Row],[RANK MÅL]]</f>
        <v>49</v>
      </c>
      <c r="B69" s="11" t="s">
        <v>205</v>
      </c>
      <c r="C69" s="12">
        <f>SUMIF('ALLA ÅR'!B:B,Tabell46[[#This Row],[Namn]],'ALLA ÅR'!C:C)</f>
        <v>4</v>
      </c>
      <c r="D69" s="12">
        <f>SUMIF('ALLA ÅR'!B:B,Tabell46[[#This Row],[Namn]],'ALLA ÅR'!E:E)</f>
        <v>1</v>
      </c>
      <c r="E69" s="12">
        <f>SUMIF('ALLA ÅR'!B:B,Tabell46[[#This Row],[Namn]],'ALLA ÅR'!F:F)</f>
        <v>0</v>
      </c>
      <c r="F69" s="12">
        <f>SUMIF('ALLA ÅR'!B:B,Tabell46[[#This Row],[Namn]],'ALLA ÅR'!G:G)</f>
        <v>3</v>
      </c>
      <c r="G69" s="12">
        <f>VLOOKUP(Tabell46[[#This Row],[Namn]],'ALLA ÅR'!B:J,9,0)</f>
        <v>2010</v>
      </c>
      <c r="H69" s="12">
        <f>COUNTIF('ALLA ÅR'!B:B,Tabell46[[#This Row],[Namn]])</f>
        <v>1</v>
      </c>
      <c r="I69" s="12">
        <f>VLOOKUP(Tabell46[[#This Row],[Namn]],'ALLA ÅR'!B:L,11,0)</f>
        <v>21</v>
      </c>
      <c r="J69" s="12">
        <f>RANK(Tabell46[[#This Row],[MÅL]],F:F)</f>
        <v>49</v>
      </c>
      <c r="K69" s="12">
        <f>RANK(Tabell46[[#This Row],[VAR]],D:D)</f>
        <v>25</v>
      </c>
      <c r="L69" s="12">
        <f>RANK(Tabell46[[#This Row],[MAT]],C:C)</f>
        <v>96</v>
      </c>
      <c r="M69" s="14">
        <f>Tabell46[[#This Row],[MAT]]/Tabell46[[#This Row],[ANTAL MATCHER]]</f>
        <v>0.18181818181818182</v>
      </c>
      <c r="N69" s="12">
        <f>SUMIF('ALLA ÅR'!B:B,Tabell46[[#This Row],[Namn]],'ALLA ÅR'!H:H)</f>
        <v>22</v>
      </c>
      <c r="O69" s="12">
        <f>RANK(Tabell46[[#This Row],[ÅLDER]],I:I)</f>
        <v>42</v>
      </c>
      <c r="P69" s="21">
        <f>Tabell46[[#This Row],[MÅL]]/Tabell46[[#This Row],[MAT]]</f>
        <v>0.75</v>
      </c>
      <c r="Q69" s="12">
        <f>_xlfn.XLOOKUP(Tabell46[[#This Row],[Namn]],V:V,W:W)</f>
        <v>0</v>
      </c>
      <c r="R69" s="12">
        <f>_xlfn.XLOOKUP(Tabell46[[#This Row],[Namn]],V:V,X:X)</f>
        <v>0</v>
      </c>
      <c r="S69" s="12">
        <f>_xlfn.XLOOKUP(Tabell46[[#This Row],[Namn]],V:V,Y:Y)</f>
        <v>3</v>
      </c>
      <c r="T69" s="12">
        <f>_xlfn.XLOOKUP(Tabell46[[#This Row],[Namn]],V:V,Z:Z)</f>
        <v>0</v>
      </c>
      <c r="V69" s="3" t="s">
        <v>100</v>
      </c>
      <c r="W69" s="152">
        <v>0</v>
      </c>
      <c r="X69" s="152">
        <v>3</v>
      </c>
      <c r="Y69" s="152"/>
      <c r="Z69" s="152"/>
      <c r="AA69" s="152">
        <v>3</v>
      </c>
      <c r="AB69"/>
      <c r="AC69" s="3" t="s">
        <v>188</v>
      </c>
      <c r="AD69" s="152">
        <v>0</v>
      </c>
      <c r="AE69" s="152">
        <v>3</v>
      </c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1">
        <v>3</v>
      </c>
      <c r="AW69" s="3" t="s">
        <v>188</v>
      </c>
      <c r="AX69" s="151"/>
      <c r="AY69" s="151"/>
      <c r="AZ69" s="151"/>
      <c r="BA69" s="151"/>
      <c r="BB69" s="151"/>
      <c r="BC69" s="151"/>
      <c r="BD69" s="151"/>
      <c r="BE69" s="151"/>
      <c r="BF69" s="151">
        <v>0</v>
      </c>
      <c r="BG69" s="151">
        <v>3</v>
      </c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>
        <v>3</v>
      </c>
    </row>
    <row r="70" spans="1:81" x14ac:dyDescent="0.25">
      <c r="A70" s="13">
        <f>Tabell46[[#This Row],[RANK MÅL]]</f>
        <v>59</v>
      </c>
      <c r="B70" s="11" t="s">
        <v>383</v>
      </c>
      <c r="C70" s="12">
        <f>SUMIF('ALLA ÅR'!B:B,Tabell46[[#This Row],[Namn]],'ALLA ÅR'!C:C)</f>
        <v>2</v>
      </c>
      <c r="D70" s="12">
        <f>SUMIF('ALLA ÅR'!B:B,Tabell46[[#This Row],[Namn]],'ALLA ÅR'!E:E)</f>
        <v>0</v>
      </c>
      <c r="E70" s="12">
        <f>SUMIF('ALLA ÅR'!B:B,Tabell46[[#This Row],[Namn]],'ALLA ÅR'!F:F)</f>
        <v>0</v>
      </c>
      <c r="F70" s="12">
        <f>SUMIF('ALLA ÅR'!B:B,Tabell46[[#This Row],[Namn]],'ALLA ÅR'!G:G)</f>
        <v>2</v>
      </c>
      <c r="G70" s="12">
        <f>VLOOKUP(Tabell46[[#This Row],[Namn]],'ALLA ÅR'!B:J,9,0)</f>
        <v>2026</v>
      </c>
      <c r="H70" s="12">
        <f>COUNTIF('ALLA ÅR'!B:B,Tabell46[[#This Row],[Namn]])</f>
        <v>1</v>
      </c>
      <c r="I70" s="12">
        <f>VLOOKUP(Tabell46[[#This Row],[Namn]],'ALLA ÅR'!B:L,11,0)</f>
        <v>15</v>
      </c>
      <c r="J70" s="12">
        <f>RANK(Tabell46[[#This Row],[MÅL]],F:F)</f>
        <v>59</v>
      </c>
      <c r="K70" s="12">
        <f>RANK(Tabell46[[#This Row],[VAR]],D:D)</f>
        <v>44</v>
      </c>
      <c r="L70" s="12">
        <f>RANK(Tabell46[[#This Row],[MAT]],C:C)</f>
        <v>103</v>
      </c>
      <c r="M70" s="14">
        <f>Tabell46[[#This Row],[MAT]]/Tabell46[[#This Row],[ANTAL MATCHER]]</f>
        <v>0.5</v>
      </c>
      <c r="N70" s="12">
        <f>SUMIF('ALLA ÅR'!B:B,Tabell46[[#This Row],[Namn]],'ALLA ÅR'!H:H)</f>
        <v>4</v>
      </c>
      <c r="O70" s="12">
        <f>RANK(Tabell46[[#This Row],[ÅLDER]],I:I)</f>
        <v>97</v>
      </c>
      <c r="P70" s="21">
        <f>Tabell46[[#This Row],[MÅL]]/Tabell46[[#This Row],[MAT]]</f>
        <v>1</v>
      </c>
      <c r="Q70" s="12">
        <f>_xlfn.XLOOKUP(Tabell46[[#This Row],[Namn]],V:V,W:W)</f>
        <v>0</v>
      </c>
      <c r="R70" s="12">
        <f>_xlfn.XLOOKUP(Tabell46[[#This Row],[Namn]],V:V,X:X)</f>
        <v>0</v>
      </c>
      <c r="S70" s="12">
        <f>_xlfn.XLOOKUP(Tabell46[[#This Row],[Namn]],V:V,Y:Y)</f>
        <v>0</v>
      </c>
      <c r="T70" s="12">
        <f>_xlfn.XLOOKUP(Tabell46[[#This Row],[Namn]],V:V,Z:Z)</f>
        <v>2</v>
      </c>
      <c r="V70" s="3" t="s">
        <v>185</v>
      </c>
      <c r="W70" s="152"/>
      <c r="X70" s="152"/>
      <c r="Y70" s="152">
        <v>2</v>
      </c>
      <c r="Z70" s="152"/>
      <c r="AA70" s="152">
        <v>2</v>
      </c>
      <c r="AB70"/>
      <c r="AC70" s="3" t="s">
        <v>125</v>
      </c>
      <c r="AD70" s="152"/>
      <c r="AE70" s="152"/>
      <c r="AF70" s="152"/>
      <c r="AG70" s="152"/>
      <c r="AH70" s="152"/>
      <c r="AI70" s="152"/>
      <c r="AJ70" s="152">
        <v>1</v>
      </c>
      <c r="AK70" s="152">
        <v>1</v>
      </c>
      <c r="AL70" s="152"/>
      <c r="AM70" s="152"/>
      <c r="AN70" s="152"/>
      <c r="AO70" s="152"/>
      <c r="AP70" s="152"/>
      <c r="AQ70" s="152"/>
      <c r="AR70" s="152"/>
      <c r="AS70" s="152"/>
      <c r="AT70" s="152"/>
      <c r="AU70" s="151">
        <v>2</v>
      </c>
      <c r="AW70" s="3" t="s">
        <v>125</v>
      </c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  <c r="BI70" s="151">
        <v>1</v>
      </c>
      <c r="BJ70" s="151">
        <v>1</v>
      </c>
      <c r="BK70" s="151"/>
      <c r="BL70" s="151"/>
      <c r="BM70" s="151"/>
      <c r="BN70" s="151"/>
      <c r="BO70" s="151"/>
      <c r="BP70" s="151"/>
      <c r="BQ70" s="151"/>
      <c r="BR70" s="151"/>
      <c r="BS70" s="151"/>
      <c r="BT70" s="151"/>
      <c r="BU70" s="151"/>
      <c r="BV70" s="151"/>
      <c r="BW70" s="151"/>
      <c r="BX70" s="151"/>
      <c r="BY70" s="151"/>
      <c r="BZ70" s="151"/>
      <c r="CA70" s="151"/>
      <c r="CB70" s="151"/>
      <c r="CC70" s="151">
        <v>2</v>
      </c>
    </row>
    <row r="71" spans="1:81" x14ac:dyDescent="0.25">
      <c r="A71" s="15">
        <f>Tabell46[[#This Row],[RANK MÅL]]</f>
        <v>59</v>
      </c>
      <c r="B71" s="11" t="s">
        <v>76</v>
      </c>
      <c r="C71" s="12">
        <f>SUMIF('ALLA ÅR'!B:B,Tabell46[[#This Row],[Namn]],'ALLA ÅR'!C:C)</f>
        <v>21</v>
      </c>
      <c r="D71" s="12">
        <f>SUMIF('ALLA ÅR'!B:B,Tabell46[[#This Row],[Namn]],'ALLA ÅR'!E:E)</f>
        <v>1</v>
      </c>
      <c r="E71" s="12">
        <f>SUMIF('ALLA ÅR'!B:B,Tabell46[[#This Row],[Namn]],'ALLA ÅR'!F:F)</f>
        <v>0</v>
      </c>
      <c r="F71" s="12">
        <f>SUMIF('ALLA ÅR'!B:B,Tabell46[[#This Row],[Namn]],'ALLA ÅR'!G:G)</f>
        <v>2</v>
      </c>
      <c r="G71" s="12">
        <f>VLOOKUP(Tabell46[[#This Row],[Namn]],'ALLA ÅR'!B:J,9,0)</f>
        <v>2023</v>
      </c>
      <c r="H71" s="12">
        <f>COUNTIF('ALLA ÅR'!B:B,Tabell46[[#This Row],[Namn]])</f>
        <v>2</v>
      </c>
      <c r="I71" s="12">
        <f>VLOOKUP(Tabell46[[#This Row],[Namn]],'ALLA ÅR'!B:L,11,0)</f>
        <v>32</v>
      </c>
      <c r="J71" s="12">
        <f>RANK(Tabell46[[#This Row],[MÅL]],F:F)</f>
        <v>59</v>
      </c>
      <c r="K71" s="12">
        <f>RANK(Tabell46[[#This Row],[VAR]],D:D)</f>
        <v>25</v>
      </c>
      <c r="L71" s="12">
        <f>RANK(Tabell46[[#This Row],[MAT]],C:C)</f>
        <v>59</v>
      </c>
      <c r="M71" s="14">
        <f>Tabell46[[#This Row],[MAT]]/Tabell46[[#This Row],[ANTAL MATCHER]]</f>
        <v>0.41176470588235292</v>
      </c>
      <c r="N71" s="12">
        <f>SUMIF('ALLA ÅR'!B:B,Tabell46[[#This Row],[Namn]],'ALLA ÅR'!H:H)</f>
        <v>51</v>
      </c>
      <c r="O71" s="12">
        <f>RANK(Tabell46[[#This Row],[ÅLDER]],I:I)</f>
        <v>5</v>
      </c>
      <c r="P71" s="21">
        <f>Tabell46[[#This Row],[MÅL]]/Tabell46[[#This Row],[MAT]]</f>
        <v>9.5238095238095233E-2</v>
      </c>
      <c r="Q71" s="12">
        <f>_xlfn.XLOOKUP(Tabell46[[#This Row],[Namn]],V:V,W:W)</f>
        <v>0</v>
      </c>
      <c r="R71" s="12">
        <f>_xlfn.XLOOKUP(Tabell46[[#This Row],[Namn]],V:V,X:X)</f>
        <v>2</v>
      </c>
      <c r="S71" s="12">
        <f>_xlfn.XLOOKUP(Tabell46[[#This Row],[Namn]],V:V,Y:Y)</f>
        <v>0</v>
      </c>
      <c r="T71" s="12">
        <f>_xlfn.XLOOKUP(Tabell46[[#This Row],[Namn]],V:V,Z:Z)</f>
        <v>0</v>
      </c>
      <c r="V71" s="3" t="s">
        <v>383</v>
      </c>
      <c r="W71" s="152"/>
      <c r="X71" s="152"/>
      <c r="Y71" s="152"/>
      <c r="Z71" s="152">
        <v>2</v>
      </c>
      <c r="AA71" s="152">
        <v>2</v>
      </c>
      <c r="AB71"/>
      <c r="AC71" s="3" t="s">
        <v>383</v>
      </c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>
        <v>2</v>
      </c>
      <c r="AU71" s="151">
        <v>2</v>
      </c>
      <c r="AW71" s="3" t="s">
        <v>383</v>
      </c>
      <c r="AX71" s="151"/>
      <c r="AY71" s="151"/>
      <c r="AZ71" s="151">
        <v>2</v>
      </c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51"/>
      <c r="BS71" s="151"/>
      <c r="BT71" s="151"/>
      <c r="BU71" s="151"/>
      <c r="BV71" s="151"/>
      <c r="BW71" s="151"/>
      <c r="BX71" s="151"/>
      <c r="BY71" s="151"/>
      <c r="BZ71" s="151"/>
      <c r="CA71" s="151"/>
      <c r="CB71" s="151"/>
      <c r="CC71" s="151">
        <v>2</v>
      </c>
    </row>
    <row r="72" spans="1:81" x14ac:dyDescent="0.25">
      <c r="A72" s="13">
        <f>Tabell46[[#This Row],[RANK MÅL]]</f>
        <v>59</v>
      </c>
      <c r="B72" s="11" t="s">
        <v>125</v>
      </c>
      <c r="C72" s="12">
        <f>SUMIF('ALLA ÅR'!B:B,Tabell46[[#This Row],[Namn]],'ALLA ÅR'!C:C)</f>
        <v>7</v>
      </c>
      <c r="D72" s="12">
        <f>SUMIF('ALLA ÅR'!B:B,Tabell46[[#This Row],[Namn]],'ALLA ÅR'!E:E)</f>
        <v>0</v>
      </c>
      <c r="E72" s="12">
        <f>SUMIF('ALLA ÅR'!B:B,Tabell46[[#This Row],[Namn]],'ALLA ÅR'!F:F)</f>
        <v>0</v>
      </c>
      <c r="F72" s="12">
        <f>SUMIF('ALLA ÅR'!B:B,Tabell46[[#This Row],[Namn]],'ALLA ÅR'!G:G)</f>
        <v>2</v>
      </c>
      <c r="G72" s="12">
        <f>VLOOKUP(Tabell46[[#This Row],[Namn]],'ALLA ÅR'!B:J,9,0)</f>
        <v>2017</v>
      </c>
      <c r="H72" s="12">
        <f>COUNTIF('ALLA ÅR'!B:B,Tabell46[[#This Row],[Namn]])</f>
        <v>2</v>
      </c>
      <c r="I72" s="12">
        <f>VLOOKUP(Tabell46[[#This Row],[Namn]],'ALLA ÅR'!B:L,11,0)</f>
        <v>25</v>
      </c>
      <c r="J72" s="12">
        <f>RANK(Tabell46[[#This Row],[MÅL]],F:F)</f>
        <v>59</v>
      </c>
      <c r="K72" s="12">
        <f>RANK(Tabell46[[#This Row],[VAR]],D:D)</f>
        <v>44</v>
      </c>
      <c r="L72" s="12">
        <f>RANK(Tabell46[[#This Row],[MAT]],C:C)</f>
        <v>86</v>
      </c>
      <c r="M72" s="14">
        <f>Tabell46[[#This Row],[MAT]]/Tabell46[[#This Row],[ANTAL MATCHER]]</f>
        <v>0.21875</v>
      </c>
      <c r="N72" s="12">
        <f>SUMIF('ALLA ÅR'!B:B,Tabell46[[#This Row],[Namn]],'ALLA ÅR'!H:H)</f>
        <v>32</v>
      </c>
      <c r="O72" s="12">
        <f>RANK(Tabell46[[#This Row],[ÅLDER]],I:I)</f>
        <v>22</v>
      </c>
      <c r="P72" s="21">
        <f>Tabell46[[#This Row],[MÅL]]/Tabell46[[#This Row],[MAT]]</f>
        <v>0.2857142857142857</v>
      </c>
      <c r="Q72" s="12">
        <f>_xlfn.XLOOKUP(Tabell46[[#This Row],[Namn]],V:V,W:W)</f>
        <v>0</v>
      </c>
      <c r="R72" s="12">
        <f>_xlfn.XLOOKUP(Tabell46[[#This Row],[Namn]],V:V,X:X)</f>
        <v>0</v>
      </c>
      <c r="S72" s="12">
        <f>_xlfn.XLOOKUP(Tabell46[[#This Row],[Namn]],V:V,Y:Y)</f>
        <v>1</v>
      </c>
      <c r="T72" s="12">
        <f>_xlfn.XLOOKUP(Tabell46[[#This Row],[Namn]],V:V,Z:Z)</f>
        <v>1</v>
      </c>
      <c r="V72" s="3" t="s">
        <v>125</v>
      </c>
      <c r="W72" s="152"/>
      <c r="X72" s="152"/>
      <c r="Y72" s="152">
        <v>1</v>
      </c>
      <c r="Z72" s="152">
        <v>1</v>
      </c>
      <c r="AA72" s="152">
        <v>2</v>
      </c>
      <c r="AB72"/>
      <c r="AC72" s="3" t="s">
        <v>167</v>
      </c>
      <c r="AD72" s="152"/>
      <c r="AE72" s="152"/>
      <c r="AF72" s="152">
        <v>1</v>
      </c>
      <c r="AG72" s="152">
        <v>0</v>
      </c>
      <c r="AH72" s="152">
        <v>1</v>
      </c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1">
        <v>2</v>
      </c>
      <c r="AW72" s="3" t="s">
        <v>167</v>
      </c>
      <c r="AX72" s="151"/>
      <c r="AY72" s="151"/>
      <c r="AZ72" s="151"/>
      <c r="BA72" s="151">
        <v>1</v>
      </c>
      <c r="BB72" s="151">
        <v>0</v>
      </c>
      <c r="BC72" s="151">
        <v>1</v>
      </c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1"/>
      <c r="BV72" s="151"/>
      <c r="BW72" s="151"/>
      <c r="BX72" s="151"/>
      <c r="BY72" s="151"/>
      <c r="BZ72" s="151"/>
      <c r="CA72" s="151"/>
      <c r="CB72" s="151"/>
      <c r="CC72" s="151">
        <v>2</v>
      </c>
    </row>
    <row r="73" spans="1:81" x14ac:dyDescent="0.25">
      <c r="A73" s="15">
        <f>Tabell46[[#This Row],[RANK MÅL]]</f>
        <v>59</v>
      </c>
      <c r="B73" s="11" t="s">
        <v>130</v>
      </c>
      <c r="C73" s="12">
        <f>SUMIF('ALLA ÅR'!B:B,Tabell46[[#This Row],[Namn]],'ALLA ÅR'!C:C)</f>
        <v>13</v>
      </c>
      <c r="D73" s="12">
        <f>SUMIF('ALLA ÅR'!B:B,Tabell46[[#This Row],[Namn]],'ALLA ÅR'!E:E)</f>
        <v>0</v>
      </c>
      <c r="E73" s="12">
        <f>SUMIF('ALLA ÅR'!B:B,Tabell46[[#This Row],[Namn]],'ALLA ÅR'!F:F)</f>
        <v>0</v>
      </c>
      <c r="F73" s="12">
        <f>SUMIF('ALLA ÅR'!B:B,Tabell46[[#This Row],[Namn]],'ALLA ÅR'!G:G)</f>
        <v>2</v>
      </c>
      <c r="G73" s="12">
        <f>VLOOKUP(Tabell46[[#This Row],[Namn]],'ALLA ÅR'!B:J,9,0)</f>
        <v>2017</v>
      </c>
      <c r="H73" s="12">
        <f>COUNTIF('ALLA ÅR'!B:B,Tabell46[[#This Row],[Namn]])</f>
        <v>2</v>
      </c>
      <c r="I73" s="12">
        <f>VLOOKUP(Tabell46[[#This Row],[Namn]],'ALLA ÅR'!B:L,11,0)</f>
        <v>18</v>
      </c>
      <c r="J73" s="12">
        <f>RANK(Tabell46[[#This Row],[MÅL]],F:F)</f>
        <v>59</v>
      </c>
      <c r="K73" s="12">
        <f>RANK(Tabell46[[#This Row],[VAR]],D:D)</f>
        <v>44</v>
      </c>
      <c r="L73" s="12">
        <f>RANK(Tabell46[[#This Row],[MAT]],C:C)</f>
        <v>73</v>
      </c>
      <c r="M73" s="14">
        <f>Tabell46[[#This Row],[MAT]]/Tabell46[[#This Row],[ANTAL MATCHER]]</f>
        <v>0.40625</v>
      </c>
      <c r="N73" s="12">
        <f>SUMIF('ALLA ÅR'!B:B,Tabell46[[#This Row],[Namn]],'ALLA ÅR'!H:H)</f>
        <v>32</v>
      </c>
      <c r="O73" s="12">
        <f>RANK(Tabell46[[#This Row],[ÅLDER]],I:I)</f>
        <v>72</v>
      </c>
      <c r="P73" s="21">
        <f>Tabell46[[#This Row],[MÅL]]/Tabell46[[#This Row],[MAT]]</f>
        <v>0.15384615384615385</v>
      </c>
      <c r="Q73" s="12">
        <f>_xlfn.XLOOKUP(Tabell46[[#This Row],[Namn]],V:V,W:W)</f>
        <v>0</v>
      </c>
      <c r="R73" s="12">
        <f>_xlfn.XLOOKUP(Tabell46[[#This Row],[Namn]],V:V,X:X)</f>
        <v>0</v>
      </c>
      <c r="S73" s="12">
        <f>_xlfn.XLOOKUP(Tabell46[[#This Row],[Namn]],V:V,Y:Y)</f>
        <v>0</v>
      </c>
      <c r="T73" s="12">
        <f>_xlfn.XLOOKUP(Tabell46[[#This Row],[Namn]],V:V,Z:Z)</f>
        <v>2</v>
      </c>
      <c r="V73" s="3" t="s">
        <v>132</v>
      </c>
      <c r="W73" s="152"/>
      <c r="X73" s="152"/>
      <c r="Y73" s="152"/>
      <c r="Z73" s="152">
        <v>2</v>
      </c>
      <c r="AA73" s="152">
        <v>2</v>
      </c>
      <c r="AB73"/>
      <c r="AC73" s="3" t="s">
        <v>132</v>
      </c>
      <c r="AD73" s="152"/>
      <c r="AE73" s="152"/>
      <c r="AF73" s="152"/>
      <c r="AG73" s="152"/>
      <c r="AH73" s="152"/>
      <c r="AI73" s="152">
        <v>0</v>
      </c>
      <c r="AJ73" s="152">
        <v>2</v>
      </c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1">
        <v>2</v>
      </c>
      <c r="AW73" s="3" t="s">
        <v>132</v>
      </c>
      <c r="AX73" s="151"/>
      <c r="AY73" s="151"/>
      <c r="AZ73" s="151">
        <v>0</v>
      </c>
      <c r="BA73" s="151">
        <v>2</v>
      </c>
      <c r="BB73" s="151"/>
      <c r="BC73" s="151"/>
      <c r="BD73" s="151"/>
      <c r="BE73" s="151"/>
      <c r="BF73" s="151"/>
      <c r="BG73" s="151"/>
      <c r="BH73" s="151"/>
      <c r="BI73" s="151"/>
      <c r="BJ73" s="151"/>
      <c r="BK73" s="151"/>
      <c r="BL73" s="151"/>
      <c r="BM73" s="151"/>
      <c r="BN73" s="151"/>
      <c r="BO73" s="151"/>
      <c r="BP73" s="151"/>
      <c r="BQ73" s="151"/>
      <c r="BR73" s="151"/>
      <c r="BS73" s="151"/>
      <c r="BT73" s="151"/>
      <c r="BU73" s="151"/>
      <c r="BV73" s="151"/>
      <c r="BW73" s="151"/>
      <c r="BX73" s="151"/>
      <c r="BY73" s="151"/>
      <c r="BZ73" s="151"/>
      <c r="CA73" s="151"/>
      <c r="CB73" s="151"/>
      <c r="CC73" s="151">
        <v>2</v>
      </c>
    </row>
    <row r="74" spans="1:81" x14ac:dyDescent="0.25">
      <c r="A74" s="13">
        <f>Tabell46[[#This Row],[RANK MÅL]]</f>
        <v>59</v>
      </c>
      <c r="B74" s="11" t="s">
        <v>132</v>
      </c>
      <c r="C74" s="12">
        <f>SUMIF('ALLA ÅR'!B:B,Tabell46[[#This Row],[Namn]],'ALLA ÅR'!C:C)</f>
        <v>23</v>
      </c>
      <c r="D74" s="12">
        <f>SUMIF('ALLA ÅR'!B:B,Tabell46[[#This Row],[Namn]],'ALLA ÅR'!E:E)</f>
        <v>0</v>
      </c>
      <c r="E74" s="12">
        <f>SUMIF('ALLA ÅR'!B:B,Tabell46[[#This Row],[Namn]],'ALLA ÅR'!F:F)</f>
        <v>0</v>
      </c>
      <c r="F74" s="12">
        <f>SUMIF('ALLA ÅR'!B:B,Tabell46[[#This Row],[Namn]],'ALLA ÅR'!G:G)</f>
        <v>2</v>
      </c>
      <c r="G74" s="12">
        <f>VLOOKUP(Tabell46[[#This Row],[Namn]],'ALLA ÅR'!B:J,9,0)</f>
        <v>2016</v>
      </c>
      <c r="H74" s="12">
        <f>COUNTIF('ALLA ÅR'!B:B,Tabell46[[#This Row],[Namn]])</f>
        <v>2</v>
      </c>
      <c r="I74" s="12">
        <f>VLOOKUP(Tabell46[[#This Row],[Namn]],'ALLA ÅR'!B:L,11,0)</f>
        <v>16</v>
      </c>
      <c r="J74" s="12">
        <f>RANK(Tabell46[[#This Row],[MÅL]],F:F)</f>
        <v>59</v>
      </c>
      <c r="K74" s="12">
        <f>RANK(Tabell46[[#This Row],[VAR]],D:D)</f>
        <v>44</v>
      </c>
      <c r="L74" s="12">
        <f>RANK(Tabell46[[#This Row],[MAT]],C:C)</f>
        <v>49</v>
      </c>
      <c r="M74" s="14">
        <f>Tabell46[[#This Row],[MAT]]/Tabell46[[#This Row],[ANTAL MATCHER]]</f>
        <v>0.58974358974358976</v>
      </c>
      <c r="N74" s="12">
        <f>SUMIF('ALLA ÅR'!B:B,Tabell46[[#This Row],[Namn]],'ALLA ÅR'!H:H)</f>
        <v>39</v>
      </c>
      <c r="O74" s="12">
        <f>RANK(Tabell46[[#This Row],[ÅLDER]],I:I)</f>
        <v>88</v>
      </c>
      <c r="P74" s="21">
        <f>Tabell46[[#This Row],[MÅL]]/Tabell46[[#This Row],[MAT]]</f>
        <v>8.6956521739130432E-2</v>
      </c>
      <c r="Q74" s="12">
        <f>_xlfn.XLOOKUP(Tabell46[[#This Row],[Namn]],V:V,W:W)</f>
        <v>0</v>
      </c>
      <c r="R74" s="12">
        <f>_xlfn.XLOOKUP(Tabell46[[#This Row],[Namn]],V:V,X:X)</f>
        <v>0</v>
      </c>
      <c r="S74" s="12">
        <f>_xlfn.XLOOKUP(Tabell46[[#This Row],[Namn]],V:V,Y:Y)</f>
        <v>0</v>
      </c>
      <c r="T74" s="12">
        <f>_xlfn.XLOOKUP(Tabell46[[#This Row],[Namn]],V:V,Z:Z)</f>
        <v>2</v>
      </c>
      <c r="V74" s="3" t="s">
        <v>76</v>
      </c>
      <c r="W74" s="152"/>
      <c r="X74" s="152">
        <v>2</v>
      </c>
      <c r="Y74" s="152"/>
      <c r="Z74" s="152"/>
      <c r="AA74" s="152">
        <v>2</v>
      </c>
      <c r="AB74"/>
      <c r="AC74" s="3" t="s">
        <v>185</v>
      </c>
      <c r="AD74" s="152">
        <v>1</v>
      </c>
      <c r="AE74" s="152">
        <v>1</v>
      </c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1">
        <v>2</v>
      </c>
      <c r="AW74" s="3" t="s">
        <v>185</v>
      </c>
      <c r="AX74" s="151"/>
      <c r="AY74" s="151"/>
      <c r="AZ74" s="151"/>
      <c r="BA74" s="151"/>
      <c r="BB74" s="151"/>
      <c r="BC74" s="151"/>
      <c r="BD74" s="151"/>
      <c r="BE74" s="151">
        <v>1</v>
      </c>
      <c r="BF74" s="151">
        <v>1</v>
      </c>
      <c r="BG74" s="151"/>
      <c r="BH74" s="151"/>
      <c r="BI74" s="151"/>
      <c r="BJ74" s="151"/>
      <c r="BK74" s="151"/>
      <c r="BL74" s="151"/>
      <c r="BM74" s="151"/>
      <c r="BN74" s="151"/>
      <c r="BO74" s="151"/>
      <c r="BP74" s="151"/>
      <c r="BQ74" s="151"/>
      <c r="BR74" s="151"/>
      <c r="BS74" s="151"/>
      <c r="BT74" s="151"/>
      <c r="BU74" s="151"/>
      <c r="BV74" s="151"/>
      <c r="BW74" s="151"/>
      <c r="BX74" s="151"/>
      <c r="BY74" s="151"/>
      <c r="BZ74" s="151"/>
      <c r="CA74" s="151"/>
      <c r="CB74" s="151"/>
      <c r="CC74" s="151">
        <v>2</v>
      </c>
    </row>
    <row r="75" spans="1:81" x14ac:dyDescent="0.25">
      <c r="A75" s="15">
        <f>Tabell46[[#This Row],[RANK MÅL]]</f>
        <v>59</v>
      </c>
      <c r="B75" s="11" t="s">
        <v>149</v>
      </c>
      <c r="C75" s="12">
        <f>SUMIF('ALLA ÅR'!B:B,Tabell46[[#This Row],[Namn]],'ALLA ÅR'!C:C)</f>
        <v>14</v>
      </c>
      <c r="D75" s="12">
        <f>SUMIF('ALLA ÅR'!B:B,Tabell46[[#This Row],[Namn]],'ALLA ÅR'!E:E)</f>
        <v>0</v>
      </c>
      <c r="E75" s="12">
        <f>SUMIF('ALLA ÅR'!B:B,Tabell46[[#This Row],[Namn]],'ALLA ÅR'!F:F)</f>
        <v>0</v>
      </c>
      <c r="F75" s="12">
        <f>SUMIF('ALLA ÅR'!B:B,Tabell46[[#This Row],[Namn]],'ALLA ÅR'!G:G)</f>
        <v>2</v>
      </c>
      <c r="G75" s="12">
        <f>VLOOKUP(Tabell46[[#This Row],[Namn]],'ALLA ÅR'!B:J,9,0)</f>
        <v>2015</v>
      </c>
      <c r="H75" s="12">
        <f>COUNTIF('ALLA ÅR'!B:B,Tabell46[[#This Row],[Namn]])</f>
        <v>1</v>
      </c>
      <c r="I75" s="12">
        <f>VLOOKUP(Tabell46[[#This Row],[Namn]],'ALLA ÅR'!B:L,11,0)</f>
        <v>15</v>
      </c>
      <c r="J75" s="12">
        <f>RANK(Tabell46[[#This Row],[MÅL]],F:F)</f>
        <v>59</v>
      </c>
      <c r="K75" s="12">
        <f>RANK(Tabell46[[#This Row],[VAR]],D:D)</f>
        <v>44</v>
      </c>
      <c r="L75" s="12">
        <f>RANK(Tabell46[[#This Row],[MAT]],C:C)</f>
        <v>68</v>
      </c>
      <c r="M75" s="14">
        <f>Tabell46[[#This Row],[MAT]]/Tabell46[[#This Row],[ANTAL MATCHER]]</f>
        <v>0.60869565217391308</v>
      </c>
      <c r="N75" s="12">
        <f>SUMIF('ALLA ÅR'!B:B,Tabell46[[#This Row],[Namn]],'ALLA ÅR'!H:H)</f>
        <v>23</v>
      </c>
      <c r="O75" s="12">
        <f>RANK(Tabell46[[#This Row],[ÅLDER]],I:I)</f>
        <v>97</v>
      </c>
      <c r="P75" s="21">
        <f>Tabell46[[#This Row],[MÅL]]/Tabell46[[#This Row],[MAT]]</f>
        <v>0.14285714285714285</v>
      </c>
      <c r="Q75" s="12">
        <f>_xlfn.XLOOKUP(Tabell46[[#This Row],[Namn]],V:V,W:W)</f>
        <v>0</v>
      </c>
      <c r="R75" s="12">
        <f>_xlfn.XLOOKUP(Tabell46[[#This Row],[Namn]],V:V,X:X)</f>
        <v>0</v>
      </c>
      <c r="S75" s="12">
        <f>_xlfn.XLOOKUP(Tabell46[[#This Row],[Namn]],V:V,Y:Y)</f>
        <v>0</v>
      </c>
      <c r="T75" s="12">
        <f>_xlfn.XLOOKUP(Tabell46[[#This Row],[Namn]],V:V,Z:Z)</f>
        <v>2</v>
      </c>
      <c r="V75" s="3" t="s">
        <v>130</v>
      </c>
      <c r="W75" s="152"/>
      <c r="X75" s="152"/>
      <c r="Y75" s="152">
        <v>0</v>
      </c>
      <c r="Z75" s="152">
        <v>2</v>
      </c>
      <c r="AA75" s="152">
        <v>2</v>
      </c>
      <c r="AB75"/>
      <c r="AC75" s="3" t="s">
        <v>130</v>
      </c>
      <c r="AD75" s="152"/>
      <c r="AE75" s="152"/>
      <c r="AF75" s="152"/>
      <c r="AG75" s="152"/>
      <c r="AH75" s="152"/>
      <c r="AI75" s="152"/>
      <c r="AJ75" s="152">
        <v>2</v>
      </c>
      <c r="AK75" s="152">
        <v>0</v>
      </c>
      <c r="AL75" s="152"/>
      <c r="AM75" s="152"/>
      <c r="AN75" s="152"/>
      <c r="AO75" s="152"/>
      <c r="AP75" s="152"/>
      <c r="AQ75" s="152"/>
      <c r="AR75" s="152"/>
      <c r="AS75" s="152"/>
      <c r="AT75" s="152"/>
      <c r="AU75" s="151">
        <v>2</v>
      </c>
      <c r="AW75" s="3" t="s">
        <v>130</v>
      </c>
      <c r="AX75" s="151"/>
      <c r="AY75" s="151"/>
      <c r="AZ75" s="151"/>
      <c r="BA75" s="151"/>
      <c r="BB75" s="151">
        <v>2</v>
      </c>
      <c r="BC75" s="151">
        <v>0</v>
      </c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1"/>
      <c r="BV75" s="151"/>
      <c r="BW75" s="151"/>
      <c r="BX75" s="151"/>
      <c r="BY75" s="151"/>
      <c r="BZ75" s="151"/>
      <c r="CA75" s="151"/>
      <c r="CB75" s="151"/>
      <c r="CC75" s="151">
        <v>2</v>
      </c>
    </row>
    <row r="76" spans="1:81" x14ac:dyDescent="0.25">
      <c r="A76" s="13">
        <f>Tabell46[[#This Row],[RANK MÅL]]</f>
        <v>59</v>
      </c>
      <c r="B76" s="11" t="s">
        <v>167</v>
      </c>
      <c r="C76" s="12">
        <f>SUMIF('ALLA ÅR'!B:B,Tabell46[[#This Row],[Namn]],'ALLA ÅR'!C:C)</f>
        <v>45</v>
      </c>
      <c r="D76" s="12">
        <f>SUMIF('ALLA ÅR'!B:B,Tabell46[[#This Row],[Namn]],'ALLA ÅR'!E:E)</f>
        <v>2</v>
      </c>
      <c r="E76" s="12">
        <f>SUMIF('ALLA ÅR'!B:B,Tabell46[[#This Row],[Namn]],'ALLA ÅR'!F:F)</f>
        <v>0</v>
      </c>
      <c r="F76" s="12">
        <f>SUMIF('ALLA ÅR'!B:B,Tabell46[[#This Row],[Namn]],'ALLA ÅR'!G:G)</f>
        <v>2</v>
      </c>
      <c r="G76" s="12">
        <f>VLOOKUP(Tabell46[[#This Row],[Namn]],'ALLA ÅR'!B:J,9,0)</f>
        <v>2014</v>
      </c>
      <c r="H76" s="12">
        <f>COUNTIF('ALLA ÅR'!B:B,Tabell46[[#This Row],[Namn]])</f>
        <v>3</v>
      </c>
      <c r="I76" s="12">
        <f>VLOOKUP(Tabell46[[#This Row],[Namn]],'ALLA ÅR'!B:L,11,0)</f>
        <v>18</v>
      </c>
      <c r="J76" s="12">
        <f>RANK(Tabell46[[#This Row],[MÅL]],F:F)</f>
        <v>59</v>
      </c>
      <c r="K76" s="12">
        <f>RANK(Tabell46[[#This Row],[VAR]],D:D)</f>
        <v>18</v>
      </c>
      <c r="L76" s="12">
        <f>RANK(Tabell46[[#This Row],[MAT]],C:C)</f>
        <v>22</v>
      </c>
      <c r="M76" s="14">
        <f>Tabell46[[#This Row],[MAT]]/Tabell46[[#This Row],[ANTAL MATCHER]]</f>
        <v>0.9375</v>
      </c>
      <c r="N76" s="12">
        <f>SUMIF('ALLA ÅR'!B:B,Tabell46[[#This Row],[Namn]],'ALLA ÅR'!H:H)</f>
        <v>48</v>
      </c>
      <c r="O76" s="12">
        <f>RANK(Tabell46[[#This Row],[ÅLDER]],I:I)</f>
        <v>72</v>
      </c>
      <c r="P76" s="21">
        <f>Tabell46[[#This Row],[MÅL]]/Tabell46[[#This Row],[MAT]]</f>
        <v>4.4444444444444446E-2</v>
      </c>
      <c r="Q76" s="12">
        <f>_xlfn.XLOOKUP(Tabell46[[#This Row],[Namn]],V:V,W:W)</f>
        <v>0</v>
      </c>
      <c r="R76" s="12">
        <f>_xlfn.XLOOKUP(Tabell46[[#This Row],[Namn]],V:V,X:X)</f>
        <v>0</v>
      </c>
      <c r="S76" s="12">
        <f>_xlfn.XLOOKUP(Tabell46[[#This Row],[Namn]],V:V,Y:Y)</f>
        <v>0</v>
      </c>
      <c r="T76" s="12">
        <f>_xlfn.XLOOKUP(Tabell46[[#This Row],[Namn]],V:V,Z:Z)</f>
        <v>2</v>
      </c>
      <c r="V76" s="3" t="s">
        <v>167</v>
      </c>
      <c r="W76" s="152"/>
      <c r="X76" s="152"/>
      <c r="Y76" s="152"/>
      <c r="Z76" s="152">
        <v>2</v>
      </c>
      <c r="AA76" s="152">
        <v>2</v>
      </c>
      <c r="AB76"/>
      <c r="AC76" s="3" t="s">
        <v>76</v>
      </c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>
        <v>2</v>
      </c>
      <c r="AQ76" s="152">
        <v>0</v>
      </c>
      <c r="AR76" s="152"/>
      <c r="AS76" s="152"/>
      <c r="AT76" s="152"/>
      <c r="AU76" s="151">
        <v>2</v>
      </c>
      <c r="AW76" s="3" t="s">
        <v>76</v>
      </c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  <c r="BI76" s="151"/>
      <c r="BJ76" s="151"/>
      <c r="BK76" s="151"/>
      <c r="BL76" s="151"/>
      <c r="BM76" s="151"/>
      <c r="BN76" s="151"/>
      <c r="BO76" s="151"/>
      <c r="BP76" s="151">
        <v>2</v>
      </c>
      <c r="BQ76" s="151">
        <v>0</v>
      </c>
      <c r="BR76" s="151"/>
      <c r="BS76" s="151"/>
      <c r="BT76" s="151"/>
      <c r="BU76" s="151"/>
      <c r="BV76" s="151"/>
      <c r="BW76" s="151"/>
      <c r="BX76" s="151"/>
      <c r="BY76" s="151"/>
      <c r="BZ76" s="151"/>
      <c r="CA76" s="151"/>
      <c r="CB76" s="151"/>
      <c r="CC76" s="151">
        <v>2</v>
      </c>
    </row>
    <row r="77" spans="1:81" x14ac:dyDescent="0.25">
      <c r="A77" s="15">
        <f>Tabell46[[#This Row],[RANK MÅL]]</f>
        <v>59</v>
      </c>
      <c r="B77" s="11" t="s">
        <v>185</v>
      </c>
      <c r="C77" s="12">
        <f>SUMIF('ALLA ÅR'!B:B,Tabell46[[#This Row],[Namn]],'ALLA ÅR'!C:C)</f>
        <v>41</v>
      </c>
      <c r="D77" s="12">
        <f>SUMIF('ALLA ÅR'!B:B,Tabell46[[#This Row],[Namn]],'ALLA ÅR'!E:E)</f>
        <v>3</v>
      </c>
      <c r="E77" s="12">
        <f>SUMIF('ALLA ÅR'!B:B,Tabell46[[#This Row],[Namn]],'ALLA ÅR'!F:F)</f>
        <v>0</v>
      </c>
      <c r="F77" s="12">
        <f>SUMIF('ALLA ÅR'!B:B,Tabell46[[#This Row],[Namn]],'ALLA ÅR'!G:G)</f>
        <v>2</v>
      </c>
      <c r="G77" s="12">
        <f>VLOOKUP(Tabell46[[#This Row],[Namn]],'ALLA ÅR'!B:J,9,0)</f>
        <v>2011</v>
      </c>
      <c r="H77" s="12">
        <f>COUNTIF('ALLA ÅR'!B:B,Tabell46[[#This Row],[Namn]])</f>
        <v>2</v>
      </c>
      <c r="I77" s="12">
        <f>VLOOKUP(Tabell46[[#This Row],[Namn]],'ALLA ÅR'!B:L,11,0)</f>
        <v>21</v>
      </c>
      <c r="J77" s="12">
        <f>RANK(Tabell46[[#This Row],[MÅL]],F:F)</f>
        <v>59</v>
      </c>
      <c r="K77" s="12">
        <f>RANK(Tabell46[[#This Row],[VAR]],D:D)</f>
        <v>10</v>
      </c>
      <c r="L77" s="12">
        <f>RANK(Tabell46[[#This Row],[MAT]],C:C)</f>
        <v>28</v>
      </c>
      <c r="M77" s="14">
        <f>Tabell46[[#This Row],[MAT]]/Tabell46[[#This Row],[ANTAL MATCHER]]</f>
        <v>0.89130434782608692</v>
      </c>
      <c r="N77" s="12">
        <f>SUMIF('ALLA ÅR'!B:B,Tabell46[[#This Row],[Namn]],'ALLA ÅR'!H:H)</f>
        <v>46</v>
      </c>
      <c r="O77" s="12">
        <f>RANK(Tabell46[[#This Row],[ÅLDER]],I:I)</f>
        <v>42</v>
      </c>
      <c r="P77" s="21">
        <f>Tabell46[[#This Row],[MÅL]]/Tabell46[[#This Row],[MAT]]</f>
        <v>4.878048780487805E-2</v>
      </c>
      <c r="Q77" s="12">
        <f>_xlfn.XLOOKUP(Tabell46[[#This Row],[Namn]],V:V,W:W)</f>
        <v>0</v>
      </c>
      <c r="R77" s="12">
        <f>_xlfn.XLOOKUP(Tabell46[[#This Row],[Namn]],V:V,X:X)</f>
        <v>0</v>
      </c>
      <c r="S77" s="12">
        <f>_xlfn.XLOOKUP(Tabell46[[#This Row],[Namn]],V:V,Y:Y)</f>
        <v>2</v>
      </c>
      <c r="T77" s="12">
        <f>_xlfn.XLOOKUP(Tabell46[[#This Row],[Namn]],V:V,Z:Z)</f>
        <v>0</v>
      </c>
      <c r="V77" s="3" t="s">
        <v>149</v>
      </c>
      <c r="W77" s="152"/>
      <c r="X77" s="152"/>
      <c r="Y77" s="152"/>
      <c r="Z77" s="152">
        <v>2</v>
      </c>
      <c r="AA77" s="152">
        <v>2</v>
      </c>
      <c r="AB77"/>
      <c r="AC77" s="3" t="s">
        <v>149</v>
      </c>
      <c r="AD77" s="152"/>
      <c r="AE77" s="152"/>
      <c r="AF77" s="152"/>
      <c r="AG77" s="152"/>
      <c r="AH77" s="152"/>
      <c r="AI77" s="152">
        <v>2</v>
      </c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1">
        <v>2</v>
      </c>
      <c r="AW77" s="3" t="s">
        <v>149</v>
      </c>
      <c r="AX77" s="151"/>
      <c r="AY77" s="151"/>
      <c r="AZ77" s="151">
        <v>2</v>
      </c>
      <c r="BA77" s="151"/>
      <c r="BB77" s="151"/>
      <c r="BC77" s="151"/>
      <c r="BD77" s="151"/>
      <c r="BE77" s="151"/>
      <c r="BF77" s="151"/>
      <c r="BG77" s="151"/>
      <c r="BH77" s="151"/>
      <c r="BI77" s="151"/>
      <c r="BJ77" s="151"/>
      <c r="BK77" s="151"/>
      <c r="BL77" s="151"/>
      <c r="BM77" s="151"/>
      <c r="BN77" s="151"/>
      <c r="BO77" s="151"/>
      <c r="BP77" s="151"/>
      <c r="BQ77" s="151"/>
      <c r="BR77" s="151"/>
      <c r="BS77" s="151"/>
      <c r="BT77" s="151"/>
      <c r="BU77" s="151"/>
      <c r="BV77" s="151"/>
      <c r="BW77" s="151"/>
      <c r="BX77" s="151"/>
      <c r="BY77" s="151"/>
      <c r="BZ77" s="151"/>
      <c r="CA77" s="151"/>
      <c r="CB77" s="151"/>
      <c r="CC77" s="151">
        <v>2</v>
      </c>
    </row>
    <row r="78" spans="1:81" x14ac:dyDescent="0.25">
      <c r="A78" s="13">
        <f>Tabell46[[#This Row],[RANK MÅL]]</f>
        <v>67</v>
      </c>
      <c r="B78" s="11" t="s">
        <v>39</v>
      </c>
      <c r="C78" s="12">
        <f>SUMIF('ALLA ÅR'!B:B,Tabell46[[#This Row],[Namn]],'ALLA ÅR'!C:C)</f>
        <v>21</v>
      </c>
      <c r="D78" s="12">
        <f>SUMIF('ALLA ÅR'!B:B,Tabell46[[#This Row],[Namn]],'ALLA ÅR'!E:E)</f>
        <v>2</v>
      </c>
      <c r="E78" s="12">
        <f>SUMIF('ALLA ÅR'!B:B,Tabell46[[#This Row],[Namn]],'ALLA ÅR'!F:F)</f>
        <v>1</v>
      </c>
      <c r="F78" s="12">
        <f>SUMIF('ALLA ÅR'!B:B,Tabell46[[#This Row],[Namn]],'ALLA ÅR'!G:G)</f>
        <v>1</v>
      </c>
      <c r="G78" s="12">
        <f>VLOOKUP(Tabell46[[#This Row],[Namn]],'ALLA ÅR'!B:J,9,0)</f>
        <v>2026</v>
      </c>
      <c r="H78" s="12">
        <f>COUNTIF('ALLA ÅR'!B:B,Tabell46[[#This Row],[Namn]])</f>
        <v>2</v>
      </c>
      <c r="I78" s="12">
        <f>VLOOKUP(Tabell46[[#This Row],[Namn]],'ALLA ÅR'!B:L,11,0)</f>
        <v>24</v>
      </c>
      <c r="J78" s="12">
        <f>RANK(Tabell46[[#This Row],[MÅL]],F:F)</f>
        <v>67</v>
      </c>
      <c r="K78" s="12">
        <f>RANK(Tabell46[[#This Row],[VAR]],D:D)</f>
        <v>18</v>
      </c>
      <c r="L78" s="12">
        <f>RANK(Tabell46[[#This Row],[MAT]],C:C)</f>
        <v>59</v>
      </c>
      <c r="M78" s="14">
        <f>Tabell46[[#This Row],[MAT]]/Tabell46[[#This Row],[ANTAL MATCHER]]</f>
        <v>0.63636363636363635</v>
      </c>
      <c r="N78" s="12">
        <f>SUMIF('ALLA ÅR'!B:B,Tabell46[[#This Row],[Namn]],'ALLA ÅR'!H:H)</f>
        <v>33</v>
      </c>
      <c r="O78" s="12">
        <f>RANK(Tabell46[[#This Row],[ÅLDER]],I:I)</f>
        <v>24</v>
      </c>
      <c r="P78" s="21">
        <f>Tabell46[[#This Row],[MÅL]]/Tabell46[[#This Row],[MAT]]</f>
        <v>4.7619047619047616E-2</v>
      </c>
      <c r="Q78" s="12">
        <f>_xlfn.XLOOKUP(Tabell46[[#This Row],[Namn]],V:V,W:W)</f>
        <v>0</v>
      </c>
      <c r="R78" s="12">
        <f>_xlfn.XLOOKUP(Tabell46[[#This Row],[Namn]],V:V,X:X)</f>
        <v>1</v>
      </c>
      <c r="S78" s="12">
        <f>_xlfn.XLOOKUP(Tabell46[[#This Row],[Namn]],V:V,Y:Y)</f>
        <v>0</v>
      </c>
      <c r="T78" s="12">
        <f>_xlfn.XLOOKUP(Tabell46[[#This Row],[Namn]],V:V,Z:Z)</f>
        <v>0</v>
      </c>
      <c r="V78" s="3" t="s">
        <v>47</v>
      </c>
      <c r="W78" s="152"/>
      <c r="X78" s="152">
        <v>1</v>
      </c>
      <c r="Y78" s="152"/>
      <c r="Z78" s="152"/>
      <c r="AA78" s="152">
        <v>1</v>
      </c>
      <c r="AB78"/>
      <c r="AC78" s="3" t="s">
        <v>47</v>
      </c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>
        <v>0</v>
      </c>
      <c r="AS78" s="152">
        <v>1</v>
      </c>
      <c r="AT78" s="152"/>
      <c r="AU78" s="151">
        <v>1</v>
      </c>
      <c r="AW78" s="3" t="s">
        <v>47</v>
      </c>
      <c r="AX78" s="151"/>
      <c r="AY78" s="151"/>
      <c r="AZ78" s="151"/>
      <c r="BA78" s="151">
        <v>0</v>
      </c>
      <c r="BB78" s="151">
        <v>1</v>
      </c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  <c r="BP78" s="151"/>
      <c r="BQ78" s="151"/>
      <c r="BR78" s="151"/>
      <c r="BS78" s="151"/>
      <c r="BT78" s="151"/>
      <c r="BU78" s="151"/>
      <c r="BV78" s="151"/>
      <c r="BW78" s="151"/>
      <c r="BX78" s="151"/>
      <c r="BY78" s="151"/>
      <c r="BZ78" s="151"/>
      <c r="CA78" s="151"/>
      <c r="CB78" s="151"/>
      <c r="CC78" s="151">
        <v>1</v>
      </c>
    </row>
    <row r="79" spans="1:81" x14ac:dyDescent="0.25">
      <c r="A79" s="15">
        <f>Tabell46[[#This Row],[RANK MÅL]]</f>
        <v>67</v>
      </c>
      <c r="B79" s="11" t="s">
        <v>24</v>
      </c>
      <c r="C79" s="12">
        <f>SUMIF('ALLA ÅR'!B:B,Tabell46[[#This Row],[Namn]],'ALLA ÅR'!C:C)</f>
        <v>10</v>
      </c>
      <c r="D79" s="12">
        <f>SUMIF('ALLA ÅR'!B:B,Tabell46[[#This Row],[Namn]],'ALLA ÅR'!E:E)</f>
        <v>0</v>
      </c>
      <c r="E79" s="12">
        <f>SUMIF('ALLA ÅR'!B:B,Tabell46[[#This Row],[Namn]],'ALLA ÅR'!F:F)</f>
        <v>0</v>
      </c>
      <c r="F79" s="12">
        <f>SUMIF('ALLA ÅR'!B:B,Tabell46[[#This Row],[Namn]],'ALLA ÅR'!G:G)</f>
        <v>1</v>
      </c>
      <c r="G79" s="12">
        <f>VLOOKUP(Tabell46[[#This Row],[Namn]],'ALLA ÅR'!B:J,9,0)</f>
        <v>2026</v>
      </c>
      <c r="H79" s="12">
        <f>COUNTIF('ALLA ÅR'!B:B,Tabell46[[#This Row],[Namn]])</f>
        <v>3</v>
      </c>
      <c r="I79" s="12">
        <f>VLOOKUP(Tabell46[[#This Row],[Namn]],'ALLA ÅR'!B:L,11,0)</f>
        <v>17</v>
      </c>
      <c r="J79" s="12">
        <f>RANK(Tabell46[[#This Row],[MÅL]],F:F)</f>
        <v>67</v>
      </c>
      <c r="K79" s="12">
        <f>RANK(Tabell46[[#This Row],[VAR]],D:D)</f>
        <v>44</v>
      </c>
      <c r="L79" s="12">
        <f>RANK(Tabell46[[#This Row],[MAT]],C:C)</f>
        <v>79</v>
      </c>
      <c r="M79" s="14">
        <f>Tabell46[[#This Row],[MAT]]/Tabell46[[#This Row],[ANTAL MATCHER]]</f>
        <v>0.27027027027027029</v>
      </c>
      <c r="N79" s="12">
        <f>SUMIF('ALLA ÅR'!B:B,Tabell46[[#This Row],[Namn]],'ALLA ÅR'!H:H)</f>
        <v>37</v>
      </c>
      <c r="O79" s="12">
        <f>RANK(Tabell46[[#This Row],[ÅLDER]],I:I)</f>
        <v>81</v>
      </c>
      <c r="P79" s="21">
        <f>Tabell46[[#This Row],[MÅL]]/Tabell46[[#This Row],[MAT]]</f>
        <v>0.1</v>
      </c>
      <c r="Q79" s="12">
        <f>_xlfn.XLOOKUP(Tabell46[[#This Row],[Namn]],V:V,W:W)</f>
        <v>0</v>
      </c>
      <c r="R79" s="12">
        <f>_xlfn.XLOOKUP(Tabell46[[#This Row],[Namn]],V:V,X:X)</f>
        <v>0</v>
      </c>
      <c r="S79" s="12">
        <f>_xlfn.XLOOKUP(Tabell46[[#This Row],[Namn]],V:V,Y:Y)</f>
        <v>0</v>
      </c>
      <c r="T79" s="12">
        <f>_xlfn.XLOOKUP(Tabell46[[#This Row],[Namn]],V:V,Z:Z)</f>
        <v>1</v>
      </c>
      <c r="V79" s="3" t="s">
        <v>173</v>
      </c>
      <c r="W79" s="152"/>
      <c r="X79" s="152"/>
      <c r="Y79" s="152"/>
      <c r="Z79" s="152">
        <v>1</v>
      </c>
      <c r="AA79" s="152">
        <v>1</v>
      </c>
      <c r="AB79"/>
      <c r="AC79" s="3" t="s">
        <v>87</v>
      </c>
      <c r="AD79" s="152">
        <v>1</v>
      </c>
      <c r="AE79" s="152"/>
      <c r="AF79" s="152"/>
      <c r="AG79" s="152"/>
      <c r="AH79" s="152"/>
      <c r="AI79" s="152"/>
      <c r="AJ79" s="152"/>
      <c r="AK79" s="152"/>
      <c r="AL79" s="152"/>
      <c r="AM79" s="152"/>
      <c r="AN79" s="152">
        <v>0</v>
      </c>
      <c r="AO79" s="152"/>
      <c r="AP79" s="152">
        <v>0</v>
      </c>
      <c r="AQ79" s="152"/>
      <c r="AR79" s="152"/>
      <c r="AS79" s="152"/>
      <c r="AT79" s="152"/>
      <c r="AU79" s="151">
        <v>1</v>
      </c>
      <c r="AW79" s="3" t="s">
        <v>87</v>
      </c>
      <c r="AX79" s="151"/>
      <c r="AY79" s="151"/>
      <c r="AZ79" s="151"/>
      <c r="BA79" s="151"/>
      <c r="BB79" s="151"/>
      <c r="BC79" s="151"/>
      <c r="BD79" s="151">
        <v>1</v>
      </c>
      <c r="BE79" s="151"/>
      <c r="BF79" s="151"/>
      <c r="BG79" s="151"/>
      <c r="BH79" s="151"/>
      <c r="BI79" s="151"/>
      <c r="BJ79" s="151"/>
      <c r="BK79" s="151"/>
      <c r="BL79" s="151"/>
      <c r="BM79" s="151"/>
      <c r="BN79" s="151">
        <v>0</v>
      </c>
      <c r="BO79" s="151"/>
      <c r="BP79" s="151">
        <v>0</v>
      </c>
      <c r="BQ79" s="151"/>
      <c r="BR79" s="151"/>
      <c r="BS79" s="151"/>
      <c r="BT79" s="151"/>
      <c r="BU79" s="151"/>
      <c r="BV79" s="151"/>
      <c r="BW79" s="151"/>
      <c r="BX79" s="151"/>
      <c r="BY79" s="151"/>
      <c r="BZ79" s="151"/>
      <c r="CA79" s="151"/>
      <c r="CB79" s="151"/>
      <c r="CC79" s="151">
        <v>1</v>
      </c>
    </row>
    <row r="80" spans="1:81" x14ac:dyDescent="0.25">
      <c r="A80" s="13">
        <f>Tabell46[[#This Row],[RANK MÅL]]</f>
        <v>67</v>
      </c>
      <c r="B80" s="11" t="s">
        <v>27</v>
      </c>
      <c r="C80" s="12">
        <f>SUMIF('ALLA ÅR'!B:B,Tabell46[[#This Row],[Namn]],'ALLA ÅR'!C:C)</f>
        <v>4</v>
      </c>
      <c r="D80" s="12">
        <f>SUMIF('ALLA ÅR'!B:B,Tabell46[[#This Row],[Namn]],'ALLA ÅR'!E:E)</f>
        <v>0</v>
      </c>
      <c r="E80" s="12">
        <f>SUMIF('ALLA ÅR'!B:B,Tabell46[[#This Row],[Namn]],'ALLA ÅR'!F:F)</f>
        <v>0</v>
      </c>
      <c r="F80" s="12">
        <f>SUMIF('ALLA ÅR'!B:B,Tabell46[[#This Row],[Namn]],'ALLA ÅR'!G:G)</f>
        <v>1</v>
      </c>
      <c r="G80" s="12">
        <f>VLOOKUP(Tabell46[[#This Row],[Namn]],'ALLA ÅR'!B:J,9,0)</f>
        <v>2026</v>
      </c>
      <c r="H80" s="12">
        <f>COUNTIF('ALLA ÅR'!B:B,Tabell46[[#This Row],[Namn]])</f>
        <v>1</v>
      </c>
      <c r="I80" s="12">
        <f>VLOOKUP(Tabell46[[#This Row],[Namn]],'ALLA ÅR'!B:L,11,0)</f>
        <v>24</v>
      </c>
      <c r="J80" s="12">
        <f>RANK(Tabell46[[#This Row],[MÅL]],F:F)</f>
        <v>67</v>
      </c>
      <c r="K80" s="12">
        <f>RANK(Tabell46[[#This Row],[VAR]],D:D)</f>
        <v>44</v>
      </c>
      <c r="L80" s="12">
        <f>RANK(Tabell46[[#This Row],[MAT]],C:C)</f>
        <v>96</v>
      </c>
      <c r="M80" s="14">
        <f>Tabell46[[#This Row],[MAT]]/Tabell46[[#This Row],[ANTAL MATCHER]]</f>
        <v>1</v>
      </c>
      <c r="N80" s="12">
        <f>SUMIF('ALLA ÅR'!B:B,Tabell46[[#This Row],[Namn]],'ALLA ÅR'!H:H)</f>
        <v>4</v>
      </c>
      <c r="O80" s="12">
        <f>RANK(Tabell46[[#This Row],[ÅLDER]],I:I)</f>
        <v>24</v>
      </c>
      <c r="P80" s="21">
        <f>Tabell46[[#This Row],[MÅL]]/Tabell46[[#This Row],[MAT]]</f>
        <v>0.25</v>
      </c>
      <c r="Q80" s="12">
        <f>_xlfn.XLOOKUP(Tabell46[[#This Row],[Namn]],V:V,W:W)</f>
        <v>0</v>
      </c>
      <c r="R80" s="12">
        <f>_xlfn.XLOOKUP(Tabell46[[#This Row],[Namn]],V:V,X:X)</f>
        <v>0</v>
      </c>
      <c r="S80" s="12">
        <f>_xlfn.XLOOKUP(Tabell46[[#This Row],[Namn]],V:V,Y:Y)</f>
        <v>0</v>
      </c>
      <c r="T80" s="12">
        <f>_xlfn.XLOOKUP(Tabell46[[#This Row],[Namn]],V:V,Z:Z)</f>
        <v>1</v>
      </c>
      <c r="V80" s="3" t="s">
        <v>140</v>
      </c>
      <c r="W80" s="152"/>
      <c r="X80" s="152"/>
      <c r="Y80" s="152"/>
      <c r="Z80" s="152">
        <v>1</v>
      </c>
      <c r="AA80" s="152">
        <v>1</v>
      </c>
      <c r="AB80"/>
      <c r="AC80" s="3" t="s">
        <v>140</v>
      </c>
      <c r="AD80" s="152"/>
      <c r="AE80" s="152"/>
      <c r="AF80" s="152"/>
      <c r="AG80" s="152"/>
      <c r="AH80" s="152"/>
      <c r="AI80" s="152">
        <v>0</v>
      </c>
      <c r="AJ80" s="152">
        <v>1</v>
      </c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1">
        <v>1</v>
      </c>
      <c r="AW80" s="3" t="s">
        <v>140</v>
      </c>
      <c r="AX80" s="151"/>
      <c r="AY80" s="151"/>
      <c r="AZ80" s="151">
        <v>0</v>
      </c>
      <c r="BA80" s="151">
        <v>1</v>
      </c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/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/>
      <c r="BZ80" s="151"/>
      <c r="CA80" s="151"/>
      <c r="CB80" s="151"/>
      <c r="CC80" s="151">
        <v>1</v>
      </c>
    </row>
    <row r="81" spans="1:81" x14ac:dyDescent="0.25">
      <c r="A81" s="15">
        <f>Tabell46[[#This Row],[RANK MÅL]]</f>
        <v>67</v>
      </c>
      <c r="B81" s="11" t="s">
        <v>47</v>
      </c>
      <c r="C81" s="12">
        <f>SUMIF('ALLA ÅR'!B:B,Tabell46[[#This Row],[Namn]],'ALLA ÅR'!C:C)</f>
        <v>4</v>
      </c>
      <c r="D81" s="12">
        <f>SUMIF('ALLA ÅR'!B:B,Tabell46[[#This Row],[Namn]],'ALLA ÅR'!E:E)</f>
        <v>0</v>
      </c>
      <c r="E81" s="12">
        <f>SUMIF('ALLA ÅR'!B:B,Tabell46[[#This Row],[Namn]],'ALLA ÅR'!F:F)</f>
        <v>0</v>
      </c>
      <c r="F81" s="12">
        <f>SUMIF('ALLA ÅR'!B:B,Tabell46[[#This Row],[Namn]],'ALLA ÅR'!G:G)</f>
        <v>1</v>
      </c>
      <c r="G81" s="12">
        <f>VLOOKUP(Tabell46[[#This Row],[Namn]],'ALLA ÅR'!B:J,9,0)</f>
        <v>2025</v>
      </c>
      <c r="H81" s="12">
        <f>COUNTIF('ALLA ÅR'!B:B,Tabell46[[#This Row],[Namn]])</f>
        <v>2</v>
      </c>
      <c r="I81" s="12">
        <f>VLOOKUP(Tabell46[[#This Row],[Namn]],'ALLA ÅR'!B:L,11,0)</f>
        <v>17</v>
      </c>
      <c r="J81" s="12">
        <f>RANK(Tabell46[[#This Row],[MÅL]],F:F)</f>
        <v>67</v>
      </c>
      <c r="K81" s="12">
        <f>RANK(Tabell46[[#This Row],[VAR]],D:D)</f>
        <v>44</v>
      </c>
      <c r="L81" s="12">
        <f>RANK(Tabell46[[#This Row],[MAT]],C:C)</f>
        <v>96</v>
      </c>
      <c r="M81" s="14">
        <f>Tabell46[[#This Row],[MAT]]/Tabell46[[#This Row],[ANTAL MATCHER]]</f>
        <v>0.12121212121212122</v>
      </c>
      <c r="N81" s="12">
        <f>SUMIF('ALLA ÅR'!B:B,Tabell46[[#This Row],[Namn]],'ALLA ÅR'!H:H)</f>
        <v>33</v>
      </c>
      <c r="O81" s="12">
        <f>RANK(Tabell46[[#This Row],[ÅLDER]],I:I)</f>
        <v>81</v>
      </c>
      <c r="P81" s="21">
        <f>Tabell46[[#This Row],[MÅL]]/Tabell46[[#This Row],[MAT]]</f>
        <v>0.25</v>
      </c>
      <c r="Q81" s="12">
        <f>_xlfn.XLOOKUP(Tabell46[[#This Row],[Namn]],V:V,W:W)</f>
        <v>0</v>
      </c>
      <c r="R81" s="12">
        <f>_xlfn.XLOOKUP(Tabell46[[#This Row],[Namn]],V:V,X:X)</f>
        <v>1</v>
      </c>
      <c r="S81" s="12">
        <f>_xlfn.XLOOKUP(Tabell46[[#This Row],[Namn]],V:V,Y:Y)</f>
        <v>0</v>
      </c>
      <c r="T81" s="12">
        <f>_xlfn.XLOOKUP(Tabell46[[#This Row],[Namn]],V:V,Z:Z)</f>
        <v>0</v>
      </c>
      <c r="V81" s="3" t="s">
        <v>114</v>
      </c>
      <c r="W81" s="152"/>
      <c r="X81" s="152">
        <v>1</v>
      </c>
      <c r="Y81" s="152"/>
      <c r="Z81" s="152"/>
      <c r="AA81" s="152">
        <v>1</v>
      </c>
      <c r="AB81"/>
      <c r="AC81" s="3" t="s">
        <v>39</v>
      </c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>
        <v>1</v>
      </c>
      <c r="AS81" s="152"/>
      <c r="AT81" s="152">
        <v>0</v>
      </c>
      <c r="AU81" s="151">
        <v>1</v>
      </c>
      <c r="AW81" s="3" t="s">
        <v>39</v>
      </c>
      <c r="AX81" s="151"/>
      <c r="AY81" s="151"/>
      <c r="AZ81" s="151"/>
      <c r="BA81" s="151"/>
      <c r="BB81" s="151"/>
      <c r="BC81" s="151"/>
      <c r="BD81" s="151"/>
      <c r="BE81" s="151"/>
      <c r="BF81" s="151"/>
      <c r="BG81" s="151">
        <v>1</v>
      </c>
      <c r="BH81" s="151"/>
      <c r="BI81" s="151">
        <v>0</v>
      </c>
      <c r="BJ81" s="151"/>
      <c r="BK81" s="151"/>
      <c r="BL81" s="151"/>
      <c r="BM81" s="151"/>
      <c r="BN81" s="151"/>
      <c r="BO81" s="151"/>
      <c r="BP81" s="151"/>
      <c r="BQ81" s="151"/>
      <c r="BR81" s="151"/>
      <c r="BS81" s="151"/>
      <c r="BT81" s="151"/>
      <c r="BU81" s="151"/>
      <c r="BV81" s="151"/>
      <c r="BW81" s="151"/>
      <c r="BX81" s="151"/>
      <c r="BY81" s="151"/>
      <c r="BZ81" s="151"/>
      <c r="CA81" s="151"/>
      <c r="CB81" s="151"/>
      <c r="CC81" s="151">
        <v>1</v>
      </c>
    </row>
    <row r="82" spans="1:81" x14ac:dyDescent="0.25">
      <c r="A82" s="13">
        <f>Tabell46[[#This Row],[RANK MÅL]]</f>
        <v>67</v>
      </c>
      <c r="B82" s="11" t="s">
        <v>67</v>
      </c>
      <c r="C82" s="12">
        <f>SUMIF('ALLA ÅR'!B:B,Tabell46[[#This Row],[Namn]],'ALLA ÅR'!C:C)</f>
        <v>1</v>
      </c>
      <c r="D82" s="12">
        <f>SUMIF('ALLA ÅR'!B:B,Tabell46[[#This Row],[Namn]],'ALLA ÅR'!E:E)</f>
        <v>0</v>
      </c>
      <c r="E82" s="12">
        <f>SUMIF('ALLA ÅR'!B:B,Tabell46[[#This Row],[Namn]],'ALLA ÅR'!F:F)</f>
        <v>0</v>
      </c>
      <c r="F82" s="12">
        <f>SUMIF('ALLA ÅR'!B:B,Tabell46[[#This Row],[Namn]],'ALLA ÅR'!G:G)</f>
        <v>1</v>
      </c>
      <c r="G82" s="12">
        <f>VLOOKUP(Tabell46[[#This Row],[Namn]],'ALLA ÅR'!B:J,9,0)</f>
        <v>2024</v>
      </c>
      <c r="H82" s="12">
        <f>COUNTIF('ALLA ÅR'!B:B,Tabell46[[#This Row],[Namn]])</f>
        <v>1</v>
      </c>
      <c r="I82" s="12">
        <f>VLOOKUP(Tabell46[[#This Row],[Namn]],'ALLA ÅR'!B:L,11,0)</f>
        <v>17</v>
      </c>
      <c r="J82" s="12">
        <f>RANK(Tabell46[[#This Row],[MÅL]],F:F)</f>
        <v>67</v>
      </c>
      <c r="K82" s="12">
        <f>RANK(Tabell46[[#This Row],[VAR]],D:D)</f>
        <v>44</v>
      </c>
      <c r="L82" s="12">
        <f>RANK(Tabell46[[#This Row],[MAT]],C:C)</f>
        <v>105</v>
      </c>
      <c r="M82" s="14">
        <f>Tabell46[[#This Row],[MAT]]/Tabell46[[#This Row],[ANTAL MATCHER]]</f>
        <v>3.4482758620689655E-2</v>
      </c>
      <c r="N82" s="12">
        <f>SUMIF('ALLA ÅR'!B:B,Tabell46[[#This Row],[Namn]],'ALLA ÅR'!H:H)</f>
        <v>29</v>
      </c>
      <c r="O82" s="12">
        <f>RANK(Tabell46[[#This Row],[ÅLDER]],I:I)</f>
        <v>81</v>
      </c>
      <c r="P82" s="21">
        <f>Tabell46[[#This Row],[MÅL]]/Tabell46[[#This Row],[MAT]]</f>
        <v>1</v>
      </c>
      <c r="Q82" s="12">
        <f>_xlfn.XLOOKUP(Tabell46[[#This Row],[Namn]],V:V,W:W)</f>
        <v>0</v>
      </c>
      <c r="R82" s="12">
        <f>_xlfn.XLOOKUP(Tabell46[[#This Row],[Namn]],V:V,X:X)</f>
        <v>1</v>
      </c>
      <c r="S82" s="12">
        <f>_xlfn.XLOOKUP(Tabell46[[#This Row],[Namn]],V:V,Y:Y)</f>
        <v>0</v>
      </c>
      <c r="T82" s="12">
        <f>_xlfn.XLOOKUP(Tabell46[[#This Row],[Namn]],V:V,Z:Z)</f>
        <v>0</v>
      </c>
      <c r="V82" s="3" t="s">
        <v>84</v>
      </c>
      <c r="W82" s="152"/>
      <c r="X82" s="152">
        <v>0</v>
      </c>
      <c r="Y82" s="152"/>
      <c r="Z82" s="152">
        <v>1</v>
      </c>
      <c r="AA82" s="152">
        <v>1</v>
      </c>
      <c r="AB82"/>
      <c r="AC82" s="3" t="s">
        <v>84</v>
      </c>
      <c r="AD82" s="152"/>
      <c r="AE82" s="152"/>
      <c r="AF82" s="152">
        <v>0</v>
      </c>
      <c r="AG82" s="152">
        <v>1</v>
      </c>
      <c r="AH82" s="152">
        <v>0</v>
      </c>
      <c r="AI82" s="152"/>
      <c r="AJ82" s="152"/>
      <c r="AK82" s="152"/>
      <c r="AL82" s="152"/>
      <c r="AM82" s="152"/>
      <c r="AN82" s="152"/>
      <c r="AO82" s="152">
        <v>0</v>
      </c>
      <c r="AP82" s="152">
        <v>0</v>
      </c>
      <c r="AQ82" s="152"/>
      <c r="AR82" s="152"/>
      <c r="AS82" s="152"/>
      <c r="AT82" s="152"/>
      <c r="AU82" s="151">
        <v>1</v>
      </c>
      <c r="AW82" s="3" t="s">
        <v>84</v>
      </c>
      <c r="AX82" s="151"/>
      <c r="AY82" s="151"/>
      <c r="AZ82" s="151">
        <v>0</v>
      </c>
      <c r="BA82" s="151">
        <v>1</v>
      </c>
      <c r="BB82" s="151">
        <v>0</v>
      </c>
      <c r="BC82" s="151"/>
      <c r="BD82" s="151"/>
      <c r="BE82" s="151"/>
      <c r="BF82" s="151"/>
      <c r="BG82" s="151"/>
      <c r="BH82" s="151"/>
      <c r="BI82" s="151">
        <v>0</v>
      </c>
      <c r="BJ82" s="151">
        <v>0</v>
      </c>
      <c r="BK82" s="151"/>
      <c r="BL82" s="151"/>
      <c r="BM82" s="151"/>
      <c r="BN82" s="151"/>
      <c r="BO82" s="151"/>
      <c r="BP82" s="151"/>
      <c r="BQ82" s="151"/>
      <c r="BR82" s="151"/>
      <c r="BS82" s="151"/>
      <c r="BT82" s="151"/>
      <c r="BU82" s="151"/>
      <c r="BV82" s="151"/>
      <c r="BW82" s="151"/>
      <c r="BX82" s="151"/>
      <c r="BY82" s="151"/>
      <c r="BZ82" s="151"/>
      <c r="CA82" s="151"/>
      <c r="CB82" s="151"/>
      <c r="CC82" s="151">
        <v>1</v>
      </c>
    </row>
    <row r="83" spans="1:81" x14ac:dyDescent="0.25">
      <c r="A83" s="15">
        <f>Tabell46[[#This Row],[RANK MÅL]]</f>
        <v>67</v>
      </c>
      <c r="B83" s="11" t="s">
        <v>66</v>
      </c>
      <c r="C83" s="12">
        <f>SUMIF('ALLA ÅR'!B:B,Tabell46[[#This Row],[Namn]],'ALLA ÅR'!C:C)</f>
        <v>32</v>
      </c>
      <c r="D83" s="12">
        <f>SUMIF('ALLA ÅR'!B:B,Tabell46[[#This Row],[Namn]],'ALLA ÅR'!E:E)</f>
        <v>3</v>
      </c>
      <c r="E83" s="12">
        <f>SUMIF('ALLA ÅR'!B:B,Tabell46[[#This Row],[Namn]],'ALLA ÅR'!F:F)</f>
        <v>0</v>
      </c>
      <c r="F83" s="12">
        <f>SUMIF('ALLA ÅR'!B:B,Tabell46[[#This Row],[Namn]],'ALLA ÅR'!G:G)</f>
        <v>1</v>
      </c>
      <c r="G83" s="12">
        <f>VLOOKUP(Tabell46[[#This Row],[Namn]],'ALLA ÅR'!B:J,9,0)</f>
        <v>2024</v>
      </c>
      <c r="H83" s="12">
        <f>COUNTIF('ALLA ÅR'!B:B,Tabell46[[#This Row],[Namn]])</f>
        <v>3</v>
      </c>
      <c r="I83" s="12">
        <f>VLOOKUP(Tabell46[[#This Row],[Namn]],'ALLA ÅR'!B:L,11,0)</f>
        <v>27</v>
      </c>
      <c r="J83" s="12">
        <f>RANK(Tabell46[[#This Row],[MÅL]],F:F)</f>
        <v>67</v>
      </c>
      <c r="K83" s="12">
        <f>RANK(Tabell46[[#This Row],[VAR]],D:D)</f>
        <v>10</v>
      </c>
      <c r="L83" s="12">
        <f>RANK(Tabell46[[#This Row],[MAT]],C:C)</f>
        <v>38</v>
      </c>
      <c r="M83" s="14">
        <f>Tabell46[[#This Row],[MAT]]/Tabell46[[#This Row],[ANTAL MATCHER]]</f>
        <v>0.46376811594202899</v>
      </c>
      <c r="N83" s="12">
        <f>SUMIF('ALLA ÅR'!B:B,Tabell46[[#This Row],[Namn]],'ALLA ÅR'!H:H)</f>
        <v>69</v>
      </c>
      <c r="O83" s="12">
        <f>RANK(Tabell46[[#This Row],[ÅLDER]],I:I)</f>
        <v>12</v>
      </c>
      <c r="P83" s="21">
        <f>Tabell46[[#This Row],[MÅL]]/Tabell46[[#This Row],[MAT]]</f>
        <v>3.125E-2</v>
      </c>
      <c r="Q83" s="12">
        <f>_xlfn.XLOOKUP(Tabell46[[#This Row],[Namn]],V:V,W:W)</f>
        <v>0</v>
      </c>
      <c r="R83" s="12">
        <f>_xlfn.XLOOKUP(Tabell46[[#This Row],[Namn]],V:V,X:X)</f>
        <v>1</v>
      </c>
      <c r="S83" s="12">
        <f>_xlfn.XLOOKUP(Tabell46[[#This Row],[Namn]],V:V,Y:Y)</f>
        <v>0</v>
      </c>
      <c r="T83" s="12">
        <f>_xlfn.XLOOKUP(Tabell46[[#This Row],[Namn]],V:V,Z:Z)</f>
        <v>0</v>
      </c>
      <c r="V83" s="3" t="s">
        <v>66</v>
      </c>
      <c r="W83" s="152"/>
      <c r="X83" s="152">
        <v>1</v>
      </c>
      <c r="Y83" s="152"/>
      <c r="Z83" s="152"/>
      <c r="AA83" s="152">
        <v>1</v>
      </c>
      <c r="AB83"/>
      <c r="AC83" s="3" t="s">
        <v>114</v>
      </c>
      <c r="AD83" s="152"/>
      <c r="AE83" s="152"/>
      <c r="AF83" s="152"/>
      <c r="AG83" s="152"/>
      <c r="AH83" s="152"/>
      <c r="AI83" s="152"/>
      <c r="AJ83" s="152"/>
      <c r="AK83" s="152"/>
      <c r="AL83" s="152">
        <v>1</v>
      </c>
      <c r="AM83" s="152"/>
      <c r="AN83" s="152"/>
      <c r="AO83" s="152"/>
      <c r="AP83" s="152"/>
      <c r="AQ83" s="152"/>
      <c r="AR83" s="152"/>
      <c r="AS83" s="152"/>
      <c r="AT83" s="152"/>
      <c r="AU83" s="151">
        <v>1</v>
      </c>
      <c r="AW83" s="3" t="s">
        <v>114</v>
      </c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>
        <v>1</v>
      </c>
      <c r="BN83" s="151"/>
      <c r="BO83" s="151"/>
      <c r="BP83" s="151"/>
      <c r="BQ83" s="151"/>
      <c r="BR83" s="151"/>
      <c r="BS83" s="151"/>
      <c r="BT83" s="151"/>
      <c r="BU83" s="151"/>
      <c r="BV83" s="151"/>
      <c r="BW83" s="151"/>
      <c r="BX83" s="151"/>
      <c r="BY83" s="151"/>
      <c r="BZ83" s="151"/>
      <c r="CA83" s="151"/>
      <c r="CB83" s="151"/>
      <c r="CC83" s="151">
        <v>1</v>
      </c>
    </row>
    <row r="84" spans="1:81" x14ac:dyDescent="0.25">
      <c r="A84" s="13">
        <f>Tabell46[[#This Row],[RANK MÅL]]</f>
        <v>67</v>
      </c>
      <c r="B84" s="11" t="s">
        <v>73</v>
      </c>
      <c r="C84" s="12">
        <f>SUMIF('ALLA ÅR'!B:B,Tabell46[[#This Row],[Namn]],'ALLA ÅR'!C:C)</f>
        <v>14</v>
      </c>
      <c r="D84" s="12">
        <f>SUMIF('ALLA ÅR'!B:B,Tabell46[[#This Row],[Namn]],'ALLA ÅR'!E:E)</f>
        <v>0</v>
      </c>
      <c r="E84" s="12">
        <f>SUMIF('ALLA ÅR'!B:B,Tabell46[[#This Row],[Namn]],'ALLA ÅR'!F:F)</f>
        <v>0</v>
      </c>
      <c r="F84" s="12">
        <f>SUMIF('ALLA ÅR'!B:B,Tabell46[[#This Row],[Namn]],'ALLA ÅR'!G:G)</f>
        <v>1</v>
      </c>
      <c r="G84" s="12">
        <f>VLOOKUP(Tabell46[[#This Row],[Namn]],'ALLA ÅR'!B:J,9,0)</f>
        <v>2023</v>
      </c>
      <c r="H84" s="12">
        <f>COUNTIF('ALLA ÅR'!B:B,Tabell46[[#This Row],[Namn]])</f>
        <v>1</v>
      </c>
      <c r="I84" s="12">
        <f>VLOOKUP(Tabell46[[#This Row],[Namn]],'ALLA ÅR'!B:L,11,0)</f>
        <v>15</v>
      </c>
      <c r="J84" s="12">
        <f>RANK(Tabell46[[#This Row],[MÅL]],F:F)</f>
        <v>67</v>
      </c>
      <c r="K84" s="12">
        <f>RANK(Tabell46[[#This Row],[VAR]],D:D)</f>
        <v>44</v>
      </c>
      <c r="L84" s="12">
        <f>RANK(Tabell46[[#This Row],[MAT]],C:C)</f>
        <v>68</v>
      </c>
      <c r="M84" s="14">
        <f>Tabell46[[#This Row],[MAT]]/Tabell46[[#This Row],[ANTAL MATCHER]]</f>
        <v>0.63636363636363635</v>
      </c>
      <c r="N84" s="12">
        <f>SUMIF('ALLA ÅR'!B:B,Tabell46[[#This Row],[Namn]],'ALLA ÅR'!H:H)</f>
        <v>22</v>
      </c>
      <c r="O84" s="12">
        <f>RANK(Tabell46[[#This Row],[ÅLDER]],I:I)</f>
        <v>97</v>
      </c>
      <c r="P84" s="21">
        <f>Tabell46[[#This Row],[MÅL]]/Tabell46[[#This Row],[MAT]]</f>
        <v>7.1428571428571425E-2</v>
      </c>
      <c r="Q84" s="12">
        <f>_xlfn.XLOOKUP(Tabell46[[#This Row],[Namn]],V:V,W:W)</f>
        <v>0</v>
      </c>
      <c r="R84" s="12">
        <f>_xlfn.XLOOKUP(Tabell46[[#This Row],[Namn]],V:V,X:X)</f>
        <v>1</v>
      </c>
      <c r="S84" s="12">
        <f>_xlfn.XLOOKUP(Tabell46[[#This Row],[Namn]],V:V,Y:Y)</f>
        <v>0</v>
      </c>
      <c r="T84" s="12">
        <f>_xlfn.XLOOKUP(Tabell46[[#This Row],[Namn]],V:V,Z:Z)</f>
        <v>0</v>
      </c>
      <c r="V84" s="3" t="s">
        <v>157</v>
      </c>
      <c r="W84" s="152"/>
      <c r="X84" s="152"/>
      <c r="Y84" s="152"/>
      <c r="Z84" s="152">
        <v>1</v>
      </c>
      <c r="AA84" s="152">
        <v>1</v>
      </c>
      <c r="AB84"/>
      <c r="AC84" s="3" t="s">
        <v>157</v>
      </c>
      <c r="AD84" s="152"/>
      <c r="AE84" s="152"/>
      <c r="AF84" s="152"/>
      <c r="AG84" s="152"/>
      <c r="AH84" s="152"/>
      <c r="AI84" s="152">
        <v>1</v>
      </c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1">
        <v>1</v>
      </c>
      <c r="AW84" s="3" t="s">
        <v>157</v>
      </c>
      <c r="AX84" s="151"/>
      <c r="AY84" s="151">
        <v>1</v>
      </c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1"/>
      <c r="BN84" s="151"/>
      <c r="BO84" s="151"/>
      <c r="BP84" s="151"/>
      <c r="BQ84" s="151"/>
      <c r="BR84" s="151"/>
      <c r="BS84" s="151"/>
      <c r="BT84" s="151"/>
      <c r="BU84" s="151"/>
      <c r="BV84" s="151"/>
      <c r="BW84" s="151"/>
      <c r="BX84" s="151"/>
      <c r="BY84" s="151"/>
      <c r="BZ84" s="151"/>
      <c r="CA84" s="151"/>
      <c r="CB84" s="151"/>
      <c r="CC84" s="151">
        <v>1</v>
      </c>
    </row>
    <row r="85" spans="1:81" x14ac:dyDescent="0.25">
      <c r="A85" s="15">
        <f>Tabell46[[#This Row],[RANK MÅL]]</f>
        <v>67</v>
      </c>
      <c r="B85" s="11" t="s">
        <v>78</v>
      </c>
      <c r="C85" s="12">
        <f>SUMIF('ALLA ÅR'!B:B,Tabell46[[#This Row],[Namn]],'ALLA ÅR'!C:C)</f>
        <v>4</v>
      </c>
      <c r="D85" s="12">
        <f>SUMIF('ALLA ÅR'!B:B,Tabell46[[#This Row],[Namn]],'ALLA ÅR'!E:E)</f>
        <v>0</v>
      </c>
      <c r="E85" s="12">
        <f>SUMIF('ALLA ÅR'!B:B,Tabell46[[#This Row],[Namn]],'ALLA ÅR'!F:F)</f>
        <v>0</v>
      </c>
      <c r="F85" s="12">
        <f>SUMIF('ALLA ÅR'!B:B,Tabell46[[#This Row],[Namn]],'ALLA ÅR'!G:G)</f>
        <v>1</v>
      </c>
      <c r="G85" s="12">
        <f>VLOOKUP(Tabell46[[#This Row],[Namn]],'ALLA ÅR'!B:J,9,0)</f>
        <v>2023</v>
      </c>
      <c r="H85" s="12">
        <f>COUNTIF('ALLA ÅR'!B:B,Tabell46[[#This Row],[Namn]])</f>
        <v>1</v>
      </c>
      <c r="I85" s="12">
        <f>VLOOKUP(Tabell46[[#This Row],[Namn]],'ALLA ÅR'!B:L,11,0)</f>
        <v>17</v>
      </c>
      <c r="J85" s="12">
        <f>RANK(Tabell46[[#This Row],[MÅL]],F:F)</f>
        <v>67</v>
      </c>
      <c r="K85" s="12">
        <f>RANK(Tabell46[[#This Row],[VAR]],D:D)</f>
        <v>44</v>
      </c>
      <c r="L85" s="12">
        <f>RANK(Tabell46[[#This Row],[MAT]],C:C)</f>
        <v>96</v>
      </c>
      <c r="M85" s="14">
        <f>Tabell46[[#This Row],[MAT]]/Tabell46[[#This Row],[ANTAL MATCHER]]</f>
        <v>0.18181818181818182</v>
      </c>
      <c r="N85" s="12">
        <f>SUMIF('ALLA ÅR'!B:B,Tabell46[[#This Row],[Namn]],'ALLA ÅR'!H:H)</f>
        <v>22</v>
      </c>
      <c r="O85" s="12">
        <f>RANK(Tabell46[[#This Row],[ÅLDER]],I:I)</f>
        <v>81</v>
      </c>
      <c r="P85" s="21">
        <f>Tabell46[[#This Row],[MÅL]]/Tabell46[[#This Row],[MAT]]</f>
        <v>0.25</v>
      </c>
      <c r="Q85" s="12">
        <f>_xlfn.XLOOKUP(Tabell46[[#This Row],[Namn]],V:V,W:W)</f>
        <v>0</v>
      </c>
      <c r="R85" s="12">
        <f>_xlfn.XLOOKUP(Tabell46[[#This Row],[Namn]],V:V,X:X)</f>
        <v>1</v>
      </c>
      <c r="S85" s="12">
        <f>_xlfn.XLOOKUP(Tabell46[[#This Row],[Namn]],V:V,Y:Y)</f>
        <v>0</v>
      </c>
      <c r="T85" s="12">
        <f>_xlfn.XLOOKUP(Tabell46[[#This Row],[Namn]],V:V,Z:Z)</f>
        <v>0</v>
      </c>
      <c r="V85" s="3" t="s">
        <v>177</v>
      </c>
      <c r="W85" s="152"/>
      <c r="X85" s="152"/>
      <c r="Y85" s="152"/>
      <c r="Z85" s="152">
        <v>1</v>
      </c>
      <c r="AA85" s="152">
        <v>1</v>
      </c>
      <c r="AB85"/>
      <c r="AC85" s="3" t="s">
        <v>66</v>
      </c>
      <c r="AD85" s="152"/>
      <c r="AE85" s="152"/>
      <c r="AF85" s="152"/>
      <c r="AG85" s="152"/>
      <c r="AH85" s="152"/>
      <c r="AI85" s="152"/>
      <c r="AJ85" s="152"/>
      <c r="AK85" s="152"/>
      <c r="AL85" s="152">
        <v>0</v>
      </c>
      <c r="AM85" s="152"/>
      <c r="AN85" s="152"/>
      <c r="AO85" s="152"/>
      <c r="AP85" s="152"/>
      <c r="AQ85" s="152">
        <v>1</v>
      </c>
      <c r="AR85" s="152">
        <v>0</v>
      </c>
      <c r="AS85" s="152"/>
      <c r="AT85" s="152"/>
      <c r="AU85" s="151">
        <v>1</v>
      </c>
      <c r="AW85" s="3" t="s">
        <v>66</v>
      </c>
      <c r="AX85" s="151"/>
      <c r="AY85" s="151"/>
      <c r="AZ85" s="151"/>
      <c r="BA85" s="151"/>
      <c r="BB85" s="151"/>
      <c r="BC85" s="151"/>
      <c r="BD85" s="151"/>
      <c r="BE85" s="151"/>
      <c r="BF85" s="151">
        <v>0</v>
      </c>
      <c r="BG85" s="151"/>
      <c r="BH85" s="151"/>
      <c r="BI85" s="151"/>
      <c r="BJ85" s="151"/>
      <c r="BK85" s="151">
        <v>1</v>
      </c>
      <c r="BL85" s="151">
        <v>0</v>
      </c>
      <c r="BM85" s="151"/>
      <c r="BN85" s="151"/>
      <c r="BO85" s="151"/>
      <c r="BP85" s="151"/>
      <c r="BQ85" s="151"/>
      <c r="BR85" s="151"/>
      <c r="BS85" s="151"/>
      <c r="BT85" s="151"/>
      <c r="BU85" s="151"/>
      <c r="BV85" s="151"/>
      <c r="BW85" s="151"/>
      <c r="BX85" s="151"/>
      <c r="BY85" s="151"/>
      <c r="BZ85" s="151"/>
      <c r="CA85" s="151"/>
      <c r="CB85" s="151"/>
      <c r="CC85" s="151">
        <v>1</v>
      </c>
    </row>
    <row r="86" spans="1:81" x14ac:dyDescent="0.25">
      <c r="A86" s="13">
        <f>Tabell46[[#This Row],[RANK MÅL]]</f>
        <v>67</v>
      </c>
      <c r="B86" s="11" t="s">
        <v>79</v>
      </c>
      <c r="C86" s="12">
        <f>SUMIF('ALLA ÅR'!B:B,Tabell46[[#This Row],[Namn]],'ALLA ÅR'!C:C)</f>
        <v>35</v>
      </c>
      <c r="D86" s="12">
        <f>SUMIF('ALLA ÅR'!B:B,Tabell46[[#This Row],[Namn]],'ALLA ÅR'!E:E)</f>
        <v>0</v>
      </c>
      <c r="E86" s="12">
        <f>SUMIF('ALLA ÅR'!B:B,Tabell46[[#This Row],[Namn]],'ALLA ÅR'!F:F)</f>
        <v>0</v>
      </c>
      <c r="F86" s="12">
        <f>SUMIF('ALLA ÅR'!B:B,Tabell46[[#This Row],[Namn]],'ALLA ÅR'!G:G)</f>
        <v>1</v>
      </c>
      <c r="G86" s="12">
        <f>VLOOKUP(Tabell46[[#This Row],[Namn]],'ALLA ÅR'!B:J,9,0)</f>
        <v>2023</v>
      </c>
      <c r="H86" s="12">
        <f>COUNTIF('ALLA ÅR'!B:B,Tabell46[[#This Row],[Namn]])</f>
        <v>4</v>
      </c>
      <c r="I86" s="12">
        <f>VLOOKUP(Tabell46[[#This Row],[Namn]],'ALLA ÅR'!B:L,11,0)</f>
        <v>19</v>
      </c>
      <c r="J86" s="12">
        <f>RANK(Tabell46[[#This Row],[MÅL]],F:F)</f>
        <v>67</v>
      </c>
      <c r="K86" s="12">
        <f>RANK(Tabell46[[#This Row],[VAR]],D:D)</f>
        <v>44</v>
      </c>
      <c r="L86" s="12">
        <f>RANK(Tabell46[[#This Row],[MAT]],C:C)</f>
        <v>36</v>
      </c>
      <c r="M86" s="14">
        <f>Tabell46[[#This Row],[MAT]]/Tabell46[[#This Row],[ANTAL MATCHER]]</f>
        <v>0.4861111111111111</v>
      </c>
      <c r="N86" s="12">
        <f>SUMIF('ALLA ÅR'!B:B,Tabell46[[#This Row],[Namn]],'ALLA ÅR'!H:H)</f>
        <v>72</v>
      </c>
      <c r="O86" s="12">
        <f>RANK(Tabell46[[#This Row],[ÅLDER]],I:I)</f>
        <v>63</v>
      </c>
      <c r="P86" s="21">
        <f>Tabell46[[#This Row],[MÅL]]/Tabell46[[#This Row],[MAT]]</f>
        <v>2.8571428571428571E-2</v>
      </c>
      <c r="Q86" s="12">
        <f>_xlfn.XLOOKUP(Tabell46[[#This Row],[Namn]],V:V,W:W)</f>
        <v>0</v>
      </c>
      <c r="R86" s="12">
        <f>_xlfn.XLOOKUP(Tabell46[[#This Row],[Namn]],V:V,X:X)</f>
        <v>1</v>
      </c>
      <c r="S86" s="12">
        <f>_xlfn.XLOOKUP(Tabell46[[#This Row],[Namn]],V:V,Y:Y)</f>
        <v>0</v>
      </c>
      <c r="T86" s="12">
        <f>_xlfn.XLOOKUP(Tabell46[[#This Row],[Namn]],V:V,Z:Z)</f>
        <v>0</v>
      </c>
      <c r="V86" s="3" t="s">
        <v>97</v>
      </c>
      <c r="W86" s="152"/>
      <c r="X86" s="152">
        <v>0</v>
      </c>
      <c r="Y86" s="152"/>
      <c r="Z86" s="152">
        <v>1</v>
      </c>
      <c r="AA86" s="152">
        <v>1</v>
      </c>
      <c r="AB86"/>
      <c r="AC86" s="3" t="s">
        <v>187</v>
      </c>
      <c r="AD86" s="152"/>
      <c r="AE86" s="152">
        <v>1</v>
      </c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1">
        <v>1</v>
      </c>
      <c r="AW86" s="3" t="s">
        <v>187</v>
      </c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>
        <v>1</v>
      </c>
      <c r="BM86" s="151"/>
      <c r="BN86" s="151"/>
      <c r="BO86" s="151"/>
      <c r="BP86" s="151"/>
      <c r="BQ86" s="151"/>
      <c r="BR86" s="151"/>
      <c r="BS86" s="151"/>
      <c r="BT86" s="151"/>
      <c r="BU86" s="151"/>
      <c r="BV86" s="151"/>
      <c r="BW86" s="151"/>
      <c r="BX86" s="151"/>
      <c r="BY86" s="151"/>
      <c r="BZ86" s="151"/>
      <c r="CA86" s="151"/>
      <c r="CB86" s="151"/>
      <c r="CC86" s="151">
        <v>1</v>
      </c>
    </row>
    <row r="87" spans="1:81" x14ac:dyDescent="0.25">
      <c r="A87" s="15">
        <f>Tabell46[[#This Row],[RANK MÅL]]</f>
        <v>67</v>
      </c>
      <c r="B87" s="11" t="s">
        <v>81</v>
      </c>
      <c r="C87" s="12">
        <f>SUMIF('ALLA ÅR'!B:B,Tabell46[[#This Row],[Namn]],'ALLA ÅR'!C:C)</f>
        <v>30</v>
      </c>
      <c r="D87" s="12">
        <f>SUMIF('ALLA ÅR'!B:B,Tabell46[[#This Row],[Namn]],'ALLA ÅR'!E:E)</f>
        <v>2</v>
      </c>
      <c r="E87" s="12">
        <f>SUMIF('ALLA ÅR'!B:B,Tabell46[[#This Row],[Namn]],'ALLA ÅR'!F:F)</f>
        <v>0</v>
      </c>
      <c r="F87" s="12">
        <f>SUMIF('ALLA ÅR'!B:B,Tabell46[[#This Row],[Namn]],'ALLA ÅR'!G:G)</f>
        <v>1</v>
      </c>
      <c r="G87" s="12">
        <f>VLOOKUP(Tabell46[[#This Row],[Namn]],'ALLA ÅR'!B:J,9,0)</f>
        <v>2022</v>
      </c>
      <c r="H87" s="12">
        <f>COUNTIF('ALLA ÅR'!B:B,Tabell46[[#This Row],[Namn]])</f>
        <v>2</v>
      </c>
      <c r="I87" s="12">
        <f>VLOOKUP(Tabell46[[#This Row],[Namn]],'ALLA ÅR'!B:L,11,0)</f>
        <v>18</v>
      </c>
      <c r="J87" s="12">
        <f>RANK(Tabell46[[#This Row],[MÅL]],F:F)</f>
        <v>67</v>
      </c>
      <c r="K87" s="12">
        <f>RANK(Tabell46[[#This Row],[VAR]],D:D)</f>
        <v>18</v>
      </c>
      <c r="L87" s="12">
        <f>RANK(Tabell46[[#This Row],[MAT]],C:C)</f>
        <v>40</v>
      </c>
      <c r="M87" s="14">
        <f>Tabell46[[#This Row],[MAT]]/Tabell46[[#This Row],[ANTAL MATCHER]]</f>
        <v>0.75</v>
      </c>
      <c r="N87" s="12">
        <f>SUMIF('ALLA ÅR'!B:B,Tabell46[[#This Row],[Namn]],'ALLA ÅR'!H:H)</f>
        <v>40</v>
      </c>
      <c r="O87" s="12">
        <f>RANK(Tabell46[[#This Row],[ÅLDER]],I:I)</f>
        <v>72</v>
      </c>
      <c r="P87" s="21">
        <f>Tabell46[[#This Row],[MÅL]]/Tabell46[[#This Row],[MAT]]</f>
        <v>3.3333333333333333E-2</v>
      </c>
      <c r="Q87" s="12">
        <f>_xlfn.XLOOKUP(Tabell46[[#This Row],[Namn]],V:V,W:W)</f>
        <v>0</v>
      </c>
      <c r="R87" s="12">
        <f>_xlfn.XLOOKUP(Tabell46[[#This Row],[Namn]],V:V,X:X)</f>
        <v>1</v>
      </c>
      <c r="S87" s="12">
        <f>_xlfn.XLOOKUP(Tabell46[[#This Row],[Namn]],V:V,Y:Y)</f>
        <v>0</v>
      </c>
      <c r="T87" s="12">
        <f>_xlfn.XLOOKUP(Tabell46[[#This Row],[Namn]],V:V,Z:Z)</f>
        <v>0</v>
      </c>
      <c r="V87" s="3" t="s">
        <v>73</v>
      </c>
      <c r="W87" s="152"/>
      <c r="X87" s="152">
        <v>1</v>
      </c>
      <c r="Y87" s="152"/>
      <c r="Z87" s="152"/>
      <c r="AA87" s="152">
        <v>1</v>
      </c>
      <c r="AB87"/>
      <c r="AC87" s="3" t="s">
        <v>177</v>
      </c>
      <c r="AD87" s="152"/>
      <c r="AE87" s="152"/>
      <c r="AF87" s="152">
        <v>1</v>
      </c>
      <c r="AG87" s="152">
        <v>0</v>
      </c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1">
        <v>1</v>
      </c>
      <c r="AW87" s="3" t="s">
        <v>177</v>
      </c>
      <c r="AX87" s="151"/>
      <c r="AY87" s="151"/>
      <c r="AZ87" s="151"/>
      <c r="BA87" s="151">
        <v>1</v>
      </c>
      <c r="BB87" s="151">
        <v>0</v>
      </c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1"/>
      <c r="BN87" s="151"/>
      <c r="BO87" s="151"/>
      <c r="BP87" s="151"/>
      <c r="BQ87" s="151"/>
      <c r="BR87" s="151"/>
      <c r="BS87" s="151"/>
      <c r="BT87" s="151"/>
      <c r="BU87" s="151"/>
      <c r="BV87" s="151"/>
      <c r="BW87" s="151"/>
      <c r="BX87" s="151"/>
      <c r="BY87" s="151"/>
      <c r="BZ87" s="151"/>
      <c r="CA87" s="151"/>
      <c r="CB87" s="151"/>
      <c r="CC87" s="151">
        <v>1</v>
      </c>
    </row>
    <row r="88" spans="1:81" x14ac:dyDescent="0.25">
      <c r="A88" s="13">
        <f>Tabell46[[#This Row],[RANK MÅL]]</f>
        <v>67</v>
      </c>
      <c r="B88" s="11" t="s">
        <v>86</v>
      </c>
      <c r="C88" s="12">
        <f>SUMIF('ALLA ÅR'!B:B,Tabell46[[#This Row],[Namn]],'ALLA ÅR'!C:C)</f>
        <v>27</v>
      </c>
      <c r="D88" s="12">
        <f>SUMIF('ALLA ÅR'!B:B,Tabell46[[#This Row],[Namn]],'ALLA ÅR'!E:E)</f>
        <v>0</v>
      </c>
      <c r="E88" s="12">
        <f>SUMIF('ALLA ÅR'!B:B,Tabell46[[#This Row],[Namn]],'ALLA ÅR'!F:F)</f>
        <v>0</v>
      </c>
      <c r="F88" s="12">
        <f>SUMIF('ALLA ÅR'!B:B,Tabell46[[#This Row],[Namn]],'ALLA ÅR'!G:G)</f>
        <v>1</v>
      </c>
      <c r="G88" s="12">
        <f>VLOOKUP(Tabell46[[#This Row],[Namn]],'ALLA ÅR'!B:J,9,0)</f>
        <v>2022</v>
      </c>
      <c r="H88" s="12">
        <f>COUNTIF('ALLA ÅR'!B:B,Tabell46[[#This Row],[Namn]])</f>
        <v>5</v>
      </c>
      <c r="I88" s="12">
        <f>VLOOKUP(Tabell46[[#This Row],[Namn]],'ALLA ÅR'!B:L,11,0)</f>
        <v>19</v>
      </c>
      <c r="J88" s="12">
        <f>RANK(Tabell46[[#This Row],[MÅL]],F:F)</f>
        <v>67</v>
      </c>
      <c r="K88" s="12">
        <f>RANK(Tabell46[[#This Row],[VAR]],D:D)</f>
        <v>44</v>
      </c>
      <c r="L88" s="12">
        <f>RANK(Tabell46[[#This Row],[MAT]],C:C)</f>
        <v>45</v>
      </c>
      <c r="M88" s="14">
        <f>Tabell46[[#This Row],[MAT]]/Tabell46[[#This Row],[ANTAL MATCHER]]</f>
        <v>0.29347826086956524</v>
      </c>
      <c r="N88" s="12">
        <f>SUMIF('ALLA ÅR'!B:B,Tabell46[[#This Row],[Namn]],'ALLA ÅR'!H:H)</f>
        <v>92</v>
      </c>
      <c r="O88" s="12">
        <f>RANK(Tabell46[[#This Row],[ÅLDER]],I:I)</f>
        <v>63</v>
      </c>
      <c r="P88" s="21">
        <f>Tabell46[[#This Row],[MÅL]]/Tabell46[[#This Row],[MAT]]</f>
        <v>3.7037037037037035E-2</v>
      </c>
      <c r="Q88" s="12">
        <f>_xlfn.XLOOKUP(Tabell46[[#This Row],[Namn]],V:V,W:W)</f>
        <v>0</v>
      </c>
      <c r="R88" s="12">
        <f>_xlfn.XLOOKUP(Tabell46[[#This Row],[Namn]],V:V,X:X)</f>
        <v>1</v>
      </c>
      <c r="S88" s="12">
        <f>_xlfn.XLOOKUP(Tabell46[[#This Row],[Namn]],V:V,Y:Y)</f>
        <v>0</v>
      </c>
      <c r="T88" s="12">
        <f>_xlfn.XLOOKUP(Tabell46[[#This Row],[Namn]],V:V,Z:Z)</f>
        <v>0</v>
      </c>
      <c r="V88" s="3" t="s">
        <v>165</v>
      </c>
      <c r="W88" s="152"/>
      <c r="X88" s="152"/>
      <c r="Y88" s="152"/>
      <c r="Z88" s="152">
        <v>1</v>
      </c>
      <c r="AA88" s="152">
        <v>1</v>
      </c>
      <c r="AB88"/>
      <c r="AC88" s="3" t="s">
        <v>97</v>
      </c>
      <c r="AD88" s="152"/>
      <c r="AE88" s="152"/>
      <c r="AF88" s="152"/>
      <c r="AG88" s="152"/>
      <c r="AH88" s="152"/>
      <c r="AI88" s="152">
        <v>0</v>
      </c>
      <c r="AJ88" s="152">
        <v>1</v>
      </c>
      <c r="AK88" s="152"/>
      <c r="AL88" s="152"/>
      <c r="AM88" s="152"/>
      <c r="AN88" s="152"/>
      <c r="AO88" s="152">
        <v>0</v>
      </c>
      <c r="AP88" s="152"/>
      <c r="AQ88" s="152"/>
      <c r="AR88" s="152"/>
      <c r="AS88" s="152"/>
      <c r="AT88" s="152"/>
      <c r="AU88" s="151">
        <v>1</v>
      </c>
      <c r="AW88" s="3" t="s">
        <v>97</v>
      </c>
      <c r="AX88" s="151"/>
      <c r="AY88" s="151">
        <v>0</v>
      </c>
      <c r="AZ88" s="151">
        <v>1</v>
      </c>
      <c r="BA88" s="151"/>
      <c r="BB88" s="151"/>
      <c r="BC88" s="151"/>
      <c r="BD88" s="151"/>
      <c r="BE88" s="151">
        <v>0</v>
      </c>
      <c r="BF88" s="151"/>
      <c r="BG88" s="151"/>
      <c r="BH88" s="151"/>
      <c r="BI88" s="151"/>
      <c r="BJ88" s="151"/>
      <c r="BK88" s="151"/>
      <c r="BL88" s="151"/>
      <c r="BM88" s="151"/>
      <c r="BN88" s="151"/>
      <c r="BO88" s="151"/>
      <c r="BP88" s="151"/>
      <c r="BQ88" s="151"/>
      <c r="BR88" s="151"/>
      <c r="BS88" s="151"/>
      <c r="BT88" s="151"/>
      <c r="BU88" s="151"/>
      <c r="BV88" s="151"/>
      <c r="BW88" s="151"/>
      <c r="BX88" s="151"/>
      <c r="BY88" s="151"/>
      <c r="BZ88" s="151"/>
      <c r="CA88" s="151"/>
      <c r="CB88" s="151"/>
      <c r="CC88" s="151">
        <v>1</v>
      </c>
    </row>
    <row r="89" spans="1:81" x14ac:dyDescent="0.25">
      <c r="A89" s="15">
        <f>Tabell46[[#This Row],[RANK MÅL]]</f>
        <v>67</v>
      </c>
      <c r="B89" s="11" t="s">
        <v>87</v>
      </c>
      <c r="C89" s="12">
        <f>SUMIF('ALLA ÅR'!B:B,Tabell46[[#This Row],[Namn]],'ALLA ÅR'!C:C)</f>
        <v>7</v>
      </c>
      <c r="D89" s="12">
        <f>SUMIF('ALLA ÅR'!B:B,Tabell46[[#This Row],[Namn]],'ALLA ÅR'!E:E)</f>
        <v>0</v>
      </c>
      <c r="E89" s="12">
        <f>SUMIF('ALLA ÅR'!B:B,Tabell46[[#This Row],[Namn]],'ALLA ÅR'!F:F)</f>
        <v>0</v>
      </c>
      <c r="F89" s="12">
        <f>SUMIF('ALLA ÅR'!B:B,Tabell46[[#This Row],[Namn]],'ALLA ÅR'!G:G)</f>
        <v>1</v>
      </c>
      <c r="G89" s="12">
        <f>VLOOKUP(Tabell46[[#This Row],[Namn]],'ALLA ÅR'!B:J,9,0)</f>
        <v>2022</v>
      </c>
      <c r="H89" s="12">
        <f>COUNTIF('ALLA ÅR'!B:B,Tabell46[[#This Row],[Namn]])</f>
        <v>3</v>
      </c>
      <c r="I89" s="12">
        <f>VLOOKUP(Tabell46[[#This Row],[Namn]],'ALLA ÅR'!B:L,11,0)</f>
        <v>31</v>
      </c>
      <c r="J89" s="12">
        <f>RANK(Tabell46[[#This Row],[MÅL]],F:F)</f>
        <v>67</v>
      </c>
      <c r="K89" s="12">
        <f>RANK(Tabell46[[#This Row],[VAR]],D:D)</f>
        <v>44</v>
      </c>
      <c r="L89" s="12">
        <f>RANK(Tabell46[[#This Row],[MAT]],C:C)</f>
        <v>86</v>
      </c>
      <c r="M89" s="14">
        <f>Tabell46[[#This Row],[MAT]]/Tabell46[[#This Row],[ANTAL MATCHER]]</f>
        <v>0.11475409836065574</v>
      </c>
      <c r="N89" s="12">
        <f>SUMIF('ALLA ÅR'!B:B,Tabell46[[#This Row],[Namn]],'ALLA ÅR'!H:H)</f>
        <v>61</v>
      </c>
      <c r="O89" s="12">
        <f>RANK(Tabell46[[#This Row],[ÅLDER]],I:I)</f>
        <v>7</v>
      </c>
      <c r="P89" s="21">
        <f>Tabell46[[#This Row],[MÅL]]/Tabell46[[#This Row],[MAT]]</f>
        <v>0.14285714285714285</v>
      </c>
      <c r="Q89" s="12">
        <f>_xlfn.XLOOKUP(Tabell46[[#This Row],[Namn]],V:V,W:W)</f>
        <v>0</v>
      </c>
      <c r="R89" s="12">
        <f>_xlfn.XLOOKUP(Tabell46[[#This Row],[Namn]],V:V,X:X)</f>
        <v>0</v>
      </c>
      <c r="S89" s="12">
        <f>_xlfn.XLOOKUP(Tabell46[[#This Row],[Namn]],V:V,Y:Y)</f>
        <v>1</v>
      </c>
      <c r="T89" s="12">
        <f>_xlfn.XLOOKUP(Tabell46[[#This Row],[Namn]],V:V,Z:Z)</f>
        <v>0</v>
      </c>
      <c r="V89" s="3" t="s">
        <v>158</v>
      </c>
      <c r="W89" s="152"/>
      <c r="X89" s="152"/>
      <c r="Y89" s="152"/>
      <c r="Z89" s="152">
        <v>1</v>
      </c>
      <c r="AA89" s="152">
        <v>1</v>
      </c>
      <c r="AB89"/>
      <c r="AC89" s="3" t="s">
        <v>73</v>
      </c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>
        <v>1</v>
      </c>
      <c r="AR89" s="152"/>
      <c r="AS89" s="152"/>
      <c r="AT89" s="152"/>
      <c r="AU89" s="151">
        <v>1</v>
      </c>
      <c r="AW89" s="3" t="s">
        <v>73</v>
      </c>
      <c r="AX89" s="151"/>
      <c r="AY89" s="151"/>
      <c r="AZ89" s="151">
        <v>1</v>
      </c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/>
      <c r="BM89" s="151"/>
      <c r="BN89" s="151"/>
      <c r="BO89" s="151"/>
      <c r="BP89" s="151"/>
      <c r="BQ89" s="151"/>
      <c r="BR89" s="151"/>
      <c r="BS89" s="151"/>
      <c r="BT89" s="151"/>
      <c r="BU89" s="151"/>
      <c r="BV89" s="151"/>
      <c r="BW89" s="151"/>
      <c r="BX89" s="151"/>
      <c r="BY89" s="151"/>
      <c r="BZ89" s="151"/>
      <c r="CA89" s="151"/>
      <c r="CB89" s="151"/>
      <c r="CC89" s="151">
        <v>1</v>
      </c>
    </row>
    <row r="90" spans="1:81" x14ac:dyDescent="0.25">
      <c r="A90" s="13">
        <f>Tabell46[[#This Row],[RANK MÅL]]</f>
        <v>67</v>
      </c>
      <c r="B90" s="11" t="s">
        <v>84</v>
      </c>
      <c r="C90" s="12">
        <f>SUMIF('ALLA ÅR'!B:B,Tabell46[[#This Row],[Namn]],'ALLA ÅR'!C:C)</f>
        <v>74</v>
      </c>
      <c r="D90" s="12">
        <f>SUMIF('ALLA ÅR'!B:B,Tabell46[[#This Row],[Namn]],'ALLA ÅR'!E:E)</f>
        <v>1</v>
      </c>
      <c r="E90" s="12">
        <f>SUMIF('ALLA ÅR'!B:B,Tabell46[[#This Row],[Namn]],'ALLA ÅR'!F:F)</f>
        <v>0</v>
      </c>
      <c r="F90" s="12">
        <f>SUMIF('ALLA ÅR'!B:B,Tabell46[[#This Row],[Namn]],'ALLA ÅR'!G:G)</f>
        <v>1</v>
      </c>
      <c r="G90" s="12">
        <f>VLOOKUP(Tabell46[[#This Row],[Namn]],'ALLA ÅR'!B:J,9,0)</f>
        <v>2022</v>
      </c>
      <c r="H90" s="12">
        <f>COUNTIF('ALLA ÅR'!B:B,Tabell46[[#This Row],[Namn]])</f>
        <v>5</v>
      </c>
      <c r="I90" s="12">
        <f>VLOOKUP(Tabell46[[#This Row],[Namn]],'ALLA ÅR'!B:L,11,0)</f>
        <v>25</v>
      </c>
      <c r="J90" s="12">
        <f>RANK(Tabell46[[#This Row],[MÅL]],F:F)</f>
        <v>67</v>
      </c>
      <c r="K90" s="12">
        <f>RANK(Tabell46[[#This Row],[VAR]],D:D)</f>
        <v>25</v>
      </c>
      <c r="L90" s="12">
        <f>RANK(Tabell46[[#This Row],[MAT]],C:C)</f>
        <v>10</v>
      </c>
      <c r="M90" s="14">
        <f>Tabell46[[#This Row],[MAT]]/Tabell46[[#This Row],[ANTAL MATCHER]]</f>
        <v>0.84090909090909094</v>
      </c>
      <c r="N90" s="12">
        <f>SUMIF('ALLA ÅR'!B:B,Tabell46[[#This Row],[Namn]],'ALLA ÅR'!H:H)</f>
        <v>88</v>
      </c>
      <c r="O90" s="12">
        <f>RANK(Tabell46[[#This Row],[ÅLDER]],I:I)</f>
        <v>22</v>
      </c>
      <c r="P90" s="21">
        <f>Tabell46[[#This Row],[MÅL]]/Tabell46[[#This Row],[MAT]]</f>
        <v>1.3513513513513514E-2</v>
      </c>
      <c r="Q90" s="12">
        <f>_xlfn.XLOOKUP(Tabell46[[#This Row],[Namn]],V:V,W:W)</f>
        <v>0</v>
      </c>
      <c r="R90" s="12">
        <f>_xlfn.XLOOKUP(Tabell46[[#This Row],[Namn]],V:V,X:X)</f>
        <v>0</v>
      </c>
      <c r="S90" s="12">
        <f>_xlfn.XLOOKUP(Tabell46[[#This Row],[Namn]],V:V,Y:Y)</f>
        <v>0</v>
      </c>
      <c r="T90" s="12">
        <f>_xlfn.XLOOKUP(Tabell46[[#This Row],[Namn]],V:V,Z:Z)</f>
        <v>1</v>
      </c>
      <c r="V90" s="3" t="s">
        <v>25</v>
      </c>
      <c r="W90" s="152"/>
      <c r="X90" s="152"/>
      <c r="Y90" s="152"/>
      <c r="Z90" s="152">
        <v>1</v>
      </c>
      <c r="AA90" s="152">
        <v>1</v>
      </c>
      <c r="AB90"/>
      <c r="AC90" s="3" t="s">
        <v>25</v>
      </c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>
        <v>1</v>
      </c>
      <c r="AU90" s="151">
        <v>1</v>
      </c>
      <c r="AW90" s="3" t="s">
        <v>25</v>
      </c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>
        <v>1</v>
      </c>
      <c r="BJ90" s="151"/>
      <c r="BK90" s="151"/>
      <c r="BL90" s="151"/>
      <c r="BM90" s="151"/>
      <c r="BN90" s="151"/>
      <c r="BO90" s="151"/>
      <c r="BP90" s="151"/>
      <c r="BQ90" s="151"/>
      <c r="BR90" s="151"/>
      <c r="BS90" s="151"/>
      <c r="BT90" s="151"/>
      <c r="BU90" s="151"/>
      <c r="BV90" s="151"/>
      <c r="BW90" s="151"/>
      <c r="BX90" s="151"/>
      <c r="BY90" s="151"/>
      <c r="BZ90" s="151"/>
      <c r="CA90" s="151"/>
      <c r="CB90" s="151"/>
      <c r="CC90" s="151">
        <v>1</v>
      </c>
    </row>
    <row r="91" spans="1:81" x14ac:dyDescent="0.25">
      <c r="A91" s="15">
        <f>Tabell46[[#This Row],[RANK MÅL]]</f>
        <v>67</v>
      </c>
      <c r="B91" s="11" t="s">
        <v>97</v>
      </c>
      <c r="C91" s="12">
        <f>SUMIF('ALLA ÅR'!B:B,Tabell46[[#This Row],[Namn]],'ALLA ÅR'!C:C)</f>
        <v>14</v>
      </c>
      <c r="D91" s="12">
        <f>SUMIF('ALLA ÅR'!B:B,Tabell46[[#This Row],[Namn]],'ALLA ÅR'!E:E)</f>
        <v>0</v>
      </c>
      <c r="E91" s="12">
        <f>SUMIF('ALLA ÅR'!B:B,Tabell46[[#This Row],[Namn]],'ALLA ÅR'!F:F)</f>
        <v>0</v>
      </c>
      <c r="F91" s="12">
        <f>SUMIF('ALLA ÅR'!B:B,Tabell46[[#This Row],[Namn]],'ALLA ÅR'!G:G)</f>
        <v>1</v>
      </c>
      <c r="G91" s="12">
        <f>VLOOKUP(Tabell46[[#This Row],[Namn]],'ALLA ÅR'!B:J,9,0)</f>
        <v>2021</v>
      </c>
      <c r="H91" s="12">
        <f>COUNTIF('ALLA ÅR'!B:B,Tabell46[[#This Row],[Namn]])</f>
        <v>3</v>
      </c>
      <c r="I91" s="12">
        <f>VLOOKUP(Tabell46[[#This Row],[Namn]],'ALLA ÅR'!B:L,11,0)</f>
        <v>20</v>
      </c>
      <c r="J91" s="12">
        <f>RANK(Tabell46[[#This Row],[MÅL]],F:F)</f>
        <v>67</v>
      </c>
      <c r="K91" s="12">
        <f>RANK(Tabell46[[#This Row],[VAR]],D:D)</f>
        <v>44</v>
      </c>
      <c r="L91" s="12">
        <f>RANK(Tabell46[[#This Row],[MAT]],C:C)</f>
        <v>68</v>
      </c>
      <c r="M91" s="14">
        <f>Tabell46[[#This Row],[MAT]]/Tabell46[[#This Row],[ANTAL MATCHER]]</f>
        <v>0.28000000000000003</v>
      </c>
      <c r="N91" s="12">
        <f>SUMIF('ALLA ÅR'!B:B,Tabell46[[#This Row],[Namn]],'ALLA ÅR'!H:H)</f>
        <v>50</v>
      </c>
      <c r="O91" s="12">
        <f>RANK(Tabell46[[#This Row],[ÅLDER]],I:I)</f>
        <v>50</v>
      </c>
      <c r="P91" s="21">
        <f>Tabell46[[#This Row],[MÅL]]/Tabell46[[#This Row],[MAT]]</f>
        <v>7.1428571428571425E-2</v>
      </c>
      <c r="Q91" s="12">
        <f>_xlfn.XLOOKUP(Tabell46[[#This Row],[Namn]],V:V,W:W)</f>
        <v>0</v>
      </c>
      <c r="R91" s="12">
        <f>_xlfn.XLOOKUP(Tabell46[[#This Row],[Namn]],V:V,X:X)</f>
        <v>0</v>
      </c>
      <c r="S91" s="12">
        <f>_xlfn.XLOOKUP(Tabell46[[#This Row],[Namn]],V:V,Y:Y)</f>
        <v>0</v>
      </c>
      <c r="T91" s="12">
        <f>_xlfn.XLOOKUP(Tabell46[[#This Row],[Namn]],V:V,Z:Z)</f>
        <v>1</v>
      </c>
      <c r="V91" s="3" t="s">
        <v>141</v>
      </c>
      <c r="W91" s="152"/>
      <c r="X91" s="152"/>
      <c r="Y91" s="152"/>
      <c r="Z91" s="152">
        <v>1</v>
      </c>
      <c r="AA91" s="152">
        <v>1</v>
      </c>
      <c r="AB91"/>
      <c r="AC91" s="3" t="s">
        <v>158</v>
      </c>
      <c r="AD91" s="152"/>
      <c r="AE91" s="152"/>
      <c r="AF91" s="152"/>
      <c r="AG91" s="152"/>
      <c r="AH91" s="152">
        <v>1</v>
      </c>
      <c r="AI91" s="152">
        <v>0</v>
      </c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1">
        <v>1</v>
      </c>
      <c r="AW91" s="3" t="s">
        <v>158</v>
      </c>
      <c r="AX91" s="151"/>
      <c r="AY91" s="151"/>
      <c r="AZ91" s="151"/>
      <c r="BA91" s="151">
        <v>1</v>
      </c>
      <c r="BB91" s="151">
        <v>0</v>
      </c>
      <c r="BC91" s="151"/>
      <c r="BD91" s="151"/>
      <c r="BE91" s="151"/>
      <c r="BF91" s="151"/>
      <c r="BG91" s="151"/>
      <c r="BH91" s="151"/>
      <c r="BI91" s="151"/>
      <c r="BJ91" s="151"/>
      <c r="BK91" s="151"/>
      <c r="BL91" s="151"/>
      <c r="BM91" s="151"/>
      <c r="BN91" s="151"/>
      <c r="BO91" s="151"/>
      <c r="BP91" s="151"/>
      <c r="BQ91" s="151"/>
      <c r="BR91" s="151"/>
      <c r="BS91" s="151"/>
      <c r="BT91" s="151"/>
      <c r="BU91" s="151"/>
      <c r="BV91" s="151"/>
      <c r="BW91" s="151"/>
      <c r="BX91" s="151"/>
      <c r="BY91" s="151"/>
      <c r="BZ91" s="151"/>
      <c r="CA91" s="151"/>
      <c r="CB91" s="151"/>
      <c r="CC91" s="151">
        <v>1</v>
      </c>
    </row>
    <row r="92" spans="1:81" x14ac:dyDescent="0.25">
      <c r="A92" s="13">
        <f>Tabell46[[#This Row],[RANK MÅL]]</f>
        <v>67</v>
      </c>
      <c r="B92" s="11" t="s">
        <v>109</v>
      </c>
      <c r="C92" s="12">
        <f>SUMIF('ALLA ÅR'!B:B,Tabell46[[#This Row],[Namn]],'ALLA ÅR'!C:C)</f>
        <v>39</v>
      </c>
      <c r="D92" s="12">
        <f>SUMIF('ALLA ÅR'!B:B,Tabell46[[#This Row],[Namn]],'ALLA ÅR'!E:E)</f>
        <v>1</v>
      </c>
      <c r="E92" s="12">
        <f>SUMIF('ALLA ÅR'!B:B,Tabell46[[#This Row],[Namn]],'ALLA ÅR'!F:F)</f>
        <v>0</v>
      </c>
      <c r="F92" s="12">
        <f>SUMIF('ALLA ÅR'!B:B,Tabell46[[#This Row],[Namn]],'ALLA ÅR'!G:G)</f>
        <v>1</v>
      </c>
      <c r="G92" s="12">
        <f>VLOOKUP(Tabell46[[#This Row],[Namn]],'ALLA ÅR'!B:J,9,0)</f>
        <v>2019</v>
      </c>
      <c r="H92" s="12">
        <f>COUNTIF('ALLA ÅR'!B:B,Tabell46[[#This Row],[Namn]])</f>
        <v>4</v>
      </c>
      <c r="I92" s="12">
        <f>VLOOKUP(Tabell46[[#This Row],[Namn]],'ALLA ÅR'!B:L,11,0)</f>
        <v>30</v>
      </c>
      <c r="J92" s="12">
        <f>RANK(Tabell46[[#This Row],[MÅL]],F:F)</f>
        <v>67</v>
      </c>
      <c r="K92" s="12">
        <f>RANK(Tabell46[[#This Row],[VAR]],D:D)</f>
        <v>25</v>
      </c>
      <c r="L92" s="12">
        <f>RANK(Tabell46[[#This Row],[MAT]],C:C)</f>
        <v>30</v>
      </c>
      <c r="M92" s="14">
        <f>Tabell46[[#This Row],[MAT]]/Tabell46[[#This Row],[ANTAL MATCHER]]</f>
        <v>0.43333333333333335</v>
      </c>
      <c r="N92" s="12">
        <f>SUMIF('ALLA ÅR'!B:B,Tabell46[[#This Row],[Namn]],'ALLA ÅR'!H:H)</f>
        <v>90</v>
      </c>
      <c r="O92" s="12">
        <f>RANK(Tabell46[[#This Row],[ÅLDER]],I:I)</f>
        <v>9</v>
      </c>
      <c r="P92" s="21">
        <f>Tabell46[[#This Row],[MÅL]]/Tabell46[[#This Row],[MAT]]</f>
        <v>2.564102564102564E-2</v>
      </c>
      <c r="Q92" s="12">
        <f>_xlfn.XLOOKUP(Tabell46[[#This Row],[Namn]],V:V,W:W)</f>
        <v>0</v>
      </c>
      <c r="R92" s="12">
        <f>_xlfn.XLOOKUP(Tabell46[[#This Row],[Namn]],V:V,X:X)</f>
        <v>0</v>
      </c>
      <c r="S92" s="12">
        <f>_xlfn.XLOOKUP(Tabell46[[#This Row],[Namn]],V:V,Y:Y)</f>
        <v>1</v>
      </c>
      <c r="T92" s="12">
        <f>_xlfn.XLOOKUP(Tabell46[[#This Row],[Namn]],V:V,Z:Z)</f>
        <v>0</v>
      </c>
      <c r="V92" s="3" t="s">
        <v>193</v>
      </c>
      <c r="W92" s="152"/>
      <c r="X92" s="152"/>
      <c r="Y92" s="152">
        <v>1</v>
      </c>
      <c r="Z92" s="152"/>
      <c r="AA92" s="152">
        <v>1</v>
      </c>
      <c r="AB92"/>
      <c r="AC92" s="3" t="s">
        <v>193</v>
      </c>
      <c r="AD92" s="152">
        <v>0</v>
      </c>
      <c r="AE92" s="152">
        <v>1</v>
      </c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1">
        <v>1</v>
      </c>
      <c r="AW92" s="3" t="s">
        <v>193</v>
      </c>
      <c r="AX92" s="151"/>
      <c r="AY92" s="151"/>
      <c r="AZ92" s="151"/>
      <c r="BA92" s="151"/>
      <c r="BB92" s="151"/>
      <c r="BC92" s="151"/>
      <c r="BD92" s="151"/>
      <c r="BE92" s="151">
        <v>0</v>
      </c>
      <c r="BF92" s="151">
        <v>1</v>
      </c>
      <c r="BG92" s="151"/>
      <c r="BH92" s="151"/>
      <c r="BI92" s="151"/>
      <c r="BJ92" s="151"/>
      <c r="BK92" s="151"/>
      <c r="BL92" s="151"/>
      <c r="BM92" s="151"/>
      <c r="BN92" s="151"/>
      <c r="BO92" s="151"/>
      <c r="BP92" s="151"/>
      <c r="BQ92" s="151"/>
      <c r="BR92" s="151"/>
      <c r="BS92" s="151"/>
      <c r="BT92" s="151"/>
      <c r="BU92" s="151"/>
      <c r="BV92" s="151"/>
      <c r="BW92" s="151"/>
      <c r="BX92" s="151"/>
      <c r="BY92" s="151"/>
      <c r="BZ92" s="151"/>
      <c r="CA92" s="151"/>
      <c r="CB92" s="151"/>
      <c r="CC92" s="151">
        <v>1</v>
      </c>
    </row>
    <row r="93" spans="1:81" x14ac:dyDescent="0.25">
      <c r="A93" s="15">
        <f>Tabell46[[#This Row],[RANK MÅL]]</f>
        <v>67</v>
      </c>
      <c r="B93" s="11" t="s">
        <v>114</v>
      </c>
      <c r="C93" s="12">
        <f>SUMIF('ALLA ÅR'!B:B,Tabell46[[#This Row],[Namn]],'ALLA ÅR'!C:C)</f>
        <v>8</v>
      </c>
      <c r="D93" s="12">
        <f>SUMIF('ALLA ÅR'!B:B,Tabell46[[#This Row],[Namn]],'ALLA ÅR'!E:E)</f>
        <v>1</v>
      </c>
      <c r="E93" s="12">
        <f>SUMIF('ALLA ÅR'!B:B,Tabell46[[#This Row],[Namn]],'ALLA ÅR'!F:F)</f>
        <v>0</v>
      </c>
      <c r="F93" s="12">
        <f>SUMIF('ALLA ÅR'!B:B,Tabell46[[#This Row],[Namn]],'ALLA ÅR'!G:G)</f>
        <v>1</v>
      </c>
      <c r="G93" s="12">
        <f>VLOOKUP(Tabell46[[#This Row],[Namn]],'ALLA ÅR'!B:J,9,0)</f>
        <v>2018</v>
      </c>
      <c r="H93" s="12">
        <f>COUNTIF('ALLA ÅR'!B:B,Tabell46[[#This Row],[Namn]])</f>
        <v>1</v>
      </c>
      <c r="I93" s="12">
        <f>VLOOKUP(Tabell46[[#This Row],[Namn]],'ALLA ÅR'!B:L,11,0)</f>
        <v>28</v>
      </c>
      <c r="J93" s="12">
        <f>RANK(Tabell46[[#This Row],[MÅL]],F:F)</f>
        <v>67</v>
      </c>
      <c r="K93" s="12">
        <f>RANK(Tabell46[[#This Row],[VAR]],D:D)</f>
        <v>25</v>
      </c>
      <c r="L93" s="12">
        <f>RANK(Tabell46[[#This Row],[MAT]],C:C)</f>
        <v>84</v>
      </c>
      <c r="M93" s="14">
        <f>Tabell46[[#This Row],[MAT]]/Tabell46[[#This Row],[ANTAL MATCHER]]</f>
        <v>0.44444444444444442</v>
      </c>
      <c r="N93" s="12">
        <f>SUMIF('ALLA ÅR'!B:B,Tabell46[[#This Row],[Namn]],'ALLA ÅR'!H:H)</f>
        <v>18</v>
      </c>
      <c r="O93" s="12">
        <f>RANK(Tabell46[[#This Row],[ÅLDER]],I:I)</f>
        <v>11</v>
      </c>
      <c r="P93" s="21">
        <f>Tabell46[[#This Row],[MÅL]]/Tabell46[[#This Row],[MAT]]</f>
        <v>0.125</v>
      </c>
      <c r="Q93" s="12">
        <f>_xlfn.XLOOKUP(Tabell46[[#This Row],[Namn]],V:V,W:W)</f>
        <v>0</v>
      </c>
      <c r="R93" s="12">
        <f>_xlfn.XLOOKUP(Tabell46[[#This Row],[Namn]],V:V,X:X)</f>
        <v>1</v>
      </c>
      <c r="S93" s="12">
        <f>_xlfn.XLOOKUP(Tabell46[[#This Row],[Namn]],V:V,Y:Y)</f>
        <v>0</v>
      </c>
      <c r="T93" s="12">
        <f>_xlfn.XLOOKUP(Tabell46[[#This Row],[Namn]],V:V,Z:Z)</f>
        <v>0</v>
      </c>
      <c r="V93" s="3" t="s">
        <v>186</v>
      </c>
      <c r="W93" s="152"/>
      <c r="X93" s="152"/>
      <c r="Y93" s="152">
        <v>1</v>
      </c>
      <c r="Z93" s="152"/>
      <c r="AA93" s="152">
        <v>1</v>
      </c>
      <c r="AB93"/>
      <c r="AC93" s="3" t="s">
        <v>186</v>
      </c>
      <c r="AD93" s="152"/>
      <c r="AE93" s="152">
        <v>1</v>
      </c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1">
        <v>1</v>
      </c>
      <c r="AW93" s="3" t="s">
        <v>186</v>
      </c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  <c r="BI93" s="151"/>
      <c r="BJ93" s="151"/>
      <c r="BK93" s="151"/>
      <c r="BL93" s="151">
        <v>1</v>
      </c>
      <c r="BM93" s="151"/>
      <c r="BN93" s="151"/>
      <c r="BO93" s="151"/>
      <c r="BP93" s="151"/>
      <c r="BQ93" s="151"/>
      <c r="BR93" s="151"/>
      <c r="BS93" s="151"/>
      <c r="BT93" s="151"/>
      <c r="BU93" s="151"/>
      <c r="BV93" s="151"/>
      <c r="BW93" s="151"/>
      <c r="BX93" s="151"/>
      <c r="BY93" s="151"/>
      <c r="BZ93" s="151"/>
      <c r="CA93" s="151"/>
      <c r="CB93" s="151"/>
      <c r="CC93" s="151">
        <v>1</v>
      </c>
    </row>
    <row r="94" spans="1:81" x14ac:dyDescent="0.25">
      <c r="A94" s="13">
        <f>Tabell46[[#This Row],[RANK MÅL]]</f>
        <v>67</v>
      </c>
      <c r="B94" s="11" t="s">
        <v>117</v>
      </c>
      <c r="C94" s="12">
        <f>SUMIF('ALLA ÅR'!B:B,Tabell46[[#This Row],[Namn]],'ALLA ÅR'!C:C)</f>
        <v>14</v>
      </c>
      <c r="D94" s="12">
        <f>SUMIF('ALLA ÅR'!B:B,Tabell46[[#This Row],[Namn]],'ALLA ÅR'!E:E)</f>
        <v>1</v>
      </c>
      <c r="E94" s="12">
        <f>SUMIF('ALLA ÅR'!B:B,Tabell46[[#This Row],[Namn]],'ALLA ÅR'!F:F)</f>
        <v>0</v>
      </c>
      <c r="F94" s="12">
        <f>SUMIF('ALLA ÅR'!B:B,Tabell46[[#This Row],[Namn]],'ALLA ÅR'!G:G)</f>
        <v>1</v>
      </c>
      <c r="G94" s="12">
        <f>VLOOKUP(Tabell46[[#This Row],[Namn]],'ALLA ÅR'!B:J,9,0)</f>
        <v>2017</v>
      </c>
      <c r="H94" s="12">
        <f>COUNTIF('ALLA ÅR'!B:B,Tabell46[[#This Row],[Namn]])</f>
        <v>1</v>
      </c>
      <c r="I94" s="12">
        <f>VLOOKUP(Tabell46[[#This Row],[Namn]],'ALLA ÅR'!B:L,11,0)</f>
        <v>27</v>
      </c>
      <c r="J94" s="12">
        <f>RANK(Tabell46[[#This Row],[MÅL]],F:F)</f>
        <v>67</v>
      </c>
      <c r="K94" s="12">
        <f>RANK(Tabell46[[#This Row],[VAR]],D:D)</f>
        <v>25</v>
      </c>
      <c r="L94" s="12">
        <f>RANK(Tabell46[[#This Row],[MAT]],C:C)</f>
        <v>68</v>
      </c>
      <c r="M94" s="14">
        <f>Tabell46[[#This Row],[MAT]]/Tabell46[[#This Row],[ANTAL MATCHER]]</f>
        <v>0.875</v>
      </c>
      <c r="N94" s="12">
        <f>SUMIF('ALLA ÅR'!B:B,Tabell46[[#This Row],[Namn]],'ALLA ÅR'!H:H)</f>
        <v>16</v>
      </c>
      <c r="O94" s="12">
        <f>RANK(Tabell46[[#This Row],[ÅLDER]],I:I)</f>
        <v>12</v>
      </c>
      <c r="P94" s="21">
        <f>Tabell46[[#This Row],[MÅL]]/Tabell46[[#This Row],[MAT]]</f>
        <v>7.1428571428571425E-2</v>
      </c>
      <c r="Q94" s="12">
        <f>_xlfn.XLOOKUP(Tabell46[[#This Row],[Namn]],V:V,W:W)</f>
        <v>0</v>
      </c>
      <c r="R94" s="12">
        <f>_xlfn.XLOOKUP(Tabell46[[#This Row],[Namn]],V:V,X:X)</f>
        <v>0</v>
      </c>
      <c r="S94" s="12">
        <f>_xlfn.XLOOKUP(Tabell46[[#This Row],[Namn]],V:V,Y:Y)</f>
        <v>1</v>
      </c>
      <c r="T94" s="12">
        <f>_xlfn.XLOOKUP(Tabell46[[#This Row],[Namn]],V:V,Z:Z)</f>
        <v>0</v>
      </c>
      <c r="V94" s="3" t="s">
        <v>159</v>
      </c>
      <c r="W94" s="152"/>
      <c r="X94" s="152"/>
      <c r="Y94" s="152"/>
      <c r="Z94" s="152">
        <v>1</v>
      </c>
      <c r="AA94" s="152">
        <v>1</v>
      </c>
      <c r="AB94"/>
      <c r="AC94" s="3" t="s">
        <v>159</v>
      </c>
      <c r="AD94" s="152"/>
      <c r="AE94" s="152"/>
      <c r="AF94" s="152"/>
      <c r="AG94" s="152"/>
      <c r="AH94" s="152"/>
      <c r="AI94" s="152">
        <v>1</v>
      </c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1">
        <v>1</v>
      </c>
      <c r="AW94" s="3" t="s">
        <v>159</v>
      </c>
      <c r="AX94" s="151"/>
      <c r="AY94" s="151">
        <v>1</v>
      </c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1"/>
      <c r="BR94" s="151"/>
      <c r="BS94" s="151"/>
      <c r="BT94" s="151"/>
      <c r="BU94" s="151"/>
      <c r="BV94" s="151"/>
      <c r="BW94" s="151"/>
      <c r="BX94" s="151"/>
      <c r="BY94" s="151"/>
      <c r="BZ94" s="151"/>
      <c r="CA94" s="151"/>
      <c r="CB94" s="151"/>
      <c r="CC94" s="151">
        <v>1</v>
      </c>
    </row>
    <row r="95" spans="1:81" x14ac:dyDescent="0.25">
      <c r="A95" s="15">
        <f>Tabell46[[#This Row],[RANK MÅL]]</f>
        <v>67</v>
      </c>
      <c r="B95" s="11" t="s">
        <v>119</v>
      </c>
      <c r="C95" s="12">
        <f>SUMIF('ALLA ÅR'!B:B,Tabell46[[#This Row],[Namn]],'ALLA ÅR'!C:C)</f>
        <v>12</v>
      </c>
      <c r="D95" s="12">
        <f>SUMIF('ALLA ÅR'!B:B,Tabell46[[#This Row],[Namn]],'ALLA ÅR'!E:E)</f>
        <v>0</v>
      </c>
      <c r="E95" s="12">
        <f>SUMIF('ALLA ÅR'!B:B,Tabell46[[#This Row],[Namn]],'ALLA ÅR'!F:F)</f>
        <v>0</v>
      </c>
      <c r="F95" s="12">
        <f>SUMIF('ALLA ÅR'!B:B,Tabell46[[#This Row],[Namn]],'ALLA ÅR'!G:G)</f>
        <v>1</v>
      </c>
      <c r="G95" s="12">
        <f>VLOOKUP(Tabell46[[#This Row],[Namn]],'ALLA ÅR'!B:J,9,0)</f>
        <v>2017</v>
      </c>
      <c r="H95" s="12">
        <f>COUNTIF('ALLA ÅR'!B:B,Tabell46[[#This Row],[Namn]])</f>
        <v>2</v>
      </c>
      <c r="I95" s="12">
        <f>VLOOKUP(Tabell46[[#This Row],[Namn]],'ALLA ÅR'!B:L,11,0)</f>
        <v>16</v>
      </c>
      <c r="J95" s="12">
        <f>RANK(Tabell46[[#This Row],[MÅL]],F:F)</f>
        <v>67</v>
      </c>
      <c r="K95" s="12">
        <f>RANK(Tabell46[[#This Row],[VAR]],D:D)</f>
        <v>44</v>
      </c>
      <c r="L95" s="12">
        <f>RANK(Tabell46[[#This Row],[MAT]],C:C)</f>
        <v>77</v>
      </c>
      <c r="M95" s="14">
        <f>Tabell46[[#This Row],[MAT]]/Tabell46[[#This Row],[ANTAL MATCHER]]</f>
        <v>0.375</v>
      </c>
      <c r="N95" s="12">
        <f>SUMIF('ALLA ÅR'!B:B,Tabell46[[#This Row],[Namn]],'ALLA ÅR'!H:H)</f>
        <v>32</v>
      </c>
      <c r="O95" s="12">
        <f>RANK(Tabell46[[#This Row],[ÅLDER]],I:I)</f>
        <v>88</v>
      </c>
      <c r="P95" s="21">
        <f>Tabell46[[#This Row],[MÅL]]/Tabell46[[#This Row],[MAT]]</f>
        <v>8.3333333333333329E-2</v>
      </c>
      <c r="Q95" s="12">
        <f>_xlfn.XLOOKUP(Tabell46[[#This Row],[Namn]],V:V,W:W)</f>
        <v>0</v>
      </c>
      <c r="R95" s="12">
        <f>_xlfn.XLOOKUP(Tabell46[[#This Row],[Namn]],V:V,X:X)</f>
        <v>0</v>
      </c>
      <c r="S95" s="12">
        <f>_xlfn.XLOOKUP(Tabell46[[#This Row],[Namn]],V:V,Y:Y)</f>
        <v>1</v>
      </c>
      <c r="T95" s="12">
        <f>_xlfn.XLOOKUP(Tabell46[[#This Row],[Namn]],V:V,Z:Z)</f>
        <v>0</v>
      </c>
      <c r="V95" s="3" t="s">
        <v>181</v>
      </c>
      <c r="W95" s="152"/>
      <c r="X95" s="152"/>
      <c r="Y95" s="152">
        <v>0</v>
      </c>
      <c r="Z95" s="152">
        <v>1</v>
      </c>
      <c r="AA95" s="152">
        <v>1</v>
      </c>
      <c r="AB95"/>
      <c r="AC95" s="3" t="s">
        <v>141</v>
      </c>
      <c r="AD95" s="152"/>
      <c r="AE95" s="152"/>
      <c r="AF95" s="152"/>
      <c r="AG95" s="152"/>
      <c r="AH95" s="152"/>
      <c r="AI95" s="152"/>
      <c r="AJ95" s="152">
        <v>1</v>
      </c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1">
        <v>1</v>
      </c>
      <c r="AW95" s="3" t="s">
        <v>141</v>
      </c>
      <c r="AX95" s="151"/>
      <c r="AY95" s="151"/>
      <c r="AZ95" s="151"/>
      <c r="BA95" s="151"/>
      <c r="BB95" s="151">
        <v>1</v>
      </c>
      <c r="BC95" s="151"/>
      <c r="BD95" s="151"/>
      <c r="BE95" s="151"/>
      <c r="BF95" s="151"/>
      <c r="BG95" s="151"/>
      <c r="BH95" s="151"/>
      <c r="BI95" s="151"/>
      <c r="BJ95" s="151"/>
      <c r="BK95" s="151"/>
      <c r="BL95" s="151"/>
      <c r="BM95" s="151"/>
      <c r="BN95" s="151"/>
      <c r="BO95" s="151"/>
      <c r="BP95" s="151"/>
      <c r="BQ95" s="151"/>
      <c r="BR95" s="151"/>
      <c r="BS95" s="151"/>
      <c r="BT95" s="151"/>
      <c r="BU95" s="151"/>
      <c r="BV95" s="151"/>
      <c r="BW95" s="151"/>
      <c r="BX95" s="151"/>
      <c r="BY95" s="151"/>
      <c r="BZ95" s="151"/>
      <c r="CA95" s="151"/>
      <c r="CB95" s="151"/>
      <c r="CC95" s="151">
        <v>1</v>
      </c>
    </row>
    <row r="96" spans="1:81" x14ac:dyDescent="0.25">
      <c r="A96" s="13">
        <f>Tabell46[[#This Row],[RANK MÅL]]</f>
        <v>67</v>
      </c>
      <c r="B96" s="11" t="s">
        <v>123</v>
      </c>
      <c r="C96" s="12">
        <f>SUMIF('ALLA ÅR'!B:B,Tabell46[[#This Row],[Namn]],'ALLA ÅR'!C:C)</f>
        <v>7</v>
      </c>
      <c r="D96" s="12">
        <f>SUMIF('ALLA ÅR'!B:B,Tabell46[[#This Row],[Namn]],'ALLA ÅR'!E:E)</f>
        <v>0</v>
      </c>
      <c r="E96" s="12">
        <f>SUMIF('ALLA ÅR'!B:B,Tabell46[[#This Row],[Namn]],'ALLA ÅR'!F:F)</f>
        <v>0</v>
      </c>
      <c r="F96" s="12">
        <f>SUMIF('ALLA ÅR'!B:B,Tabell46[[#This Row],[Namn]],'ALLA ÅR'!G:G)</f>
        <v>1</v>
      </c>
      <c r="G96" s="12">
        <f>VLOOKUP(Tabell46[[#This Row],[Namn]],'ALLA ÅR'!B:J,9,0)</f>
        <v>2017</v>
      </c>
      <c r="H96" s="12">
        <f>COUNTIF('ALLA ÅR'!B:B,Tabell46[[#This Row],[Namn]])</f>
        <v>1</v>
      </c>
      <c r="I96" s="12">
        <f>VLOOKUP(Tabell46[[#This Row],[Namn]],'ALLA ÅR'!B:L,11,0)</f>
        <v>16</v>
      </c>
      <c r="J96" s="12">
        <f>RANK(Tabell46[[#This Row],[MÅL]],F:F)</f>
        <v>67</v>
      </c>
      <c r="K96" s="12">
        <f>RANK(Tabell46[[#This Row],[VAR]],D:D)</f>
        <v>44</v>
      </c>
      <c r="L96" s="12">
        <f>RANK(Tabell46[[#This Row],[MAT]],C:C)</f>
        <v>86</v>
      </c>
      <c r="M96" s="14">
        <f>Tabell46[[#This Row],[MAT]]/Tabell46[[#This Row],[ANTAL MATCHER]]</f>
        <v>0.4375</v>
      </c>
      <c r="N96" s="12">
        <f>SUMIF('ALLA ÅR'!B:B,Tabell46[[#This Row],[Namn]],'ALLA ÅR'!H:H)</f>
        <v>16</v>
      </c>
      <c r="O96" s="12">
        <f>RANK(Tabell46[[#This Row],[ÅLDER]],I:I)</f>
        <v>88</v>
      </c>
      <c r="P96" s="21">
        <f>Tabell46[[#This Row],[MÅL]]/Tabell46[[#This Row],[MAT]]</f>
        <v>0.14285714285714285</v>
      </c>
      <c r="Q96" s="12">
        <f>_xlfn.XLOOKUP(Tabell46[[#This Row],[Namn]],V:V,W:W)</f>
        <v>0</v>
      </c>
      <c r="R96" s="12">
        <f>_xlfn.XLOOKUP(Tabell46[[#This Row],[Namn]],V:V,X:X)</f>
        <v>0</v>
      </c>
      <c r="S96" s="12">
        <f>_xlfn.XLOOKUP(Tabell46[[#This Row],[Namn]],V:V,Y:Y)</f>
        <v>1</v>
      </c>
      <c r="T96" s="12">
        <f>_xlfn.XLOOKUP(Tabell46[[#This Row],[Namn]],V:V,Z:Z)</f>
        <v>0</v>
      </c>
      <c r="V96" s="3" t="s">
        <v>24</v>
      </c>
      <c r="W96" s="152"/>
      <c r="X96" s="152">
        <v>0</v>
      </c>
      <c r="Y96" s="152"/>
      <c r="Z96" s="152">
        <v>1</v>
      </c>
      <c r="AA96" s="152">
        <v>1</v>
      </c>
      <c r="AB96"/>
      <c r="AC96" s="3" t="s">
        <v>24</v>
      </c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>
        <v>0</v>
      </c>
      <c r="AS96" s="152">
        <v>0</v>
      </c>
      <c r="AT96" s="152">
        <v>1</v>
      </c>
      <c r="AU96" s="151">
        <v>1</v>
      </c>
      <c r="AW96" s="3" t="s">
        <v>24</v>
      </c>
      <c r="AX96" s="151"/>
      <c r="AY96" s="151"/>
      <c r="AZ96" s="151">
        <v>0</v>
      </c>
      <c r="BA96" s="151">
        <v>0</v>
      </c>
      <c r="BB96" s="151">
        <v>1</v>
      </c>
      <c r="BC96" s="151"/>
      <c r="BD96" s="151"/>
      <c r="BE96" s="151"/>
      <c r="BF96" s="151"/>
      <c r="BG96" s="151"/>
      <c r="BH96" s="151"/>
      <c r="BI96" s="151"/>
      <c r="BJ96" s="151"/>
      <c r="BK96" s="151"/>
      <c r="BL96" s="151"/>
      <c r="BM96" s="151"/>
      <c r="BN96" s="151"/>
      <c r="BO96" s="151"/>
      <c r="BP96" s="151"/>
      <c r="BQ96" s="151"/>
      <c r="BR96" s="151"/>
      <c r="BS96" s="151"/>
      <c r="BT96" s="151"/>
      <c r="BU96" s="151"/>
      <c r="BV96" s="151"/>
      <c r="BW96" s="151"/>
      <c r="BX96" s="151"/>
      <c r="BY96" s="151"/>
      <c r="BZ96" s="151"/>
      <c r="CA96" s="151"/>
      <c r="CB96" s="151"/>
      <c r="CC96" s="151">
        <v>1</v>
      </c>
    </row>
    <row r="97" spans="1:81" x14ac:dyDescent="0.25">
      <c r="A97" s="15">
        <f>Tabell46[[#This Row],[RANK MÅL]]</f>
        <v>67</v>
      </c>
      <c r="B97" s="11" t="s">
        <v>129</v>
      </c>
      <c r="C97" s="12">
        <f>SUMIF('ALLA ÅR'!B:B,Tabell46[[#This Row],[Namn]],'ALLA ÅR'!C:C)</f>
        <v>17</v>
      </c>
      <c r="D97" s="12">
        <f>SUMIF('ALLA ÅR'!B:B,Tabell46[[#This Row],[Namn]],'ALLA ÅR'!E:E)</f>
        <v>0</v>
      </c>
      <c r="E97" s="12">
        <f>SUMIF('ALLA ÅR'!B:B,Tabell46[[#This Row],[Namn]],'ALLA ÅR'!F:F)</f>
        <v>0</v>
      </c>
      <c r="F97" s="12">
        <f>SUMIF('ALLA ÅR'!B:B,Tabell46[[#This Row],[Namn]],'ALLA ÅR'!G:G)</f>
        <v>1</v>
      </c>
      <c r="G97" s="12">
        <f>VLOOKUP(Tabell46[[#This Row],[Namn]],'ALLA ÅR'!B:J,9,0)</f>
        <v>2017</v>
      </c>
      <c r="H97" s="12">
        <f>COUNTIF('ALLA ÅR'!B:B,Tabell46[[#This Row],[Namn]])</f>
        <v>2</v>
      </c>
      <c r="I97" s="12">
        <f>VLOOKUP(Tabell46[[#This Row],[Namn]],'ALLA ÅR'!B:L,11,0)</f>
        <v>18</v>
      </c>
      <c r="J97" s="12">
        <f>RANK(Tabell46[[#This Row],[MÅL]],F:F)</f>
        <v>67</v>
      </c>
      <c r="K97" s="12">
        <f>RANK(Tabell46[[#This Row],[VAR]],D:D)</f>
        <v>44</v>
      </c>
      <c r="L97" s="12">
        <f>RANK(Tabell46[[#This Row],[MAT]],C:C)</f>
        <v>65</v>
      </c>
      <c r="M97" s="14">
        <f>Tabell46[[#This Row],[MAT]]/Tabell46[[#This Row],[ANTAL MATCHER]]</f>
        <v>0.53125</v>
      </c>
      <c r="N97" s="12">
        <f>SUMIF('ALLA ÅR'!B:B,Tabell46[[#This Row],[Namn]],'ALLA ÅR'!H:H)</f>
        <v>32</v>
      </c>
      <c r="O97" s="12">
        <f>RANK(Tabell46[[#This Row],[ÅLDER]],I:I)</f>
        <v>72</v>
      </c>
      <c r="P97" s="21">
        <f>Tabell46[[#This Row],[MÅL]]/Tabell46[[#This Row],[MAT]]</f>
        <v>5.8823529411764705E-2</v>
      </c>
      <c r="Q97" s="12">
        <f>_xlfn.XLOOKUP(Tabell46[[#This Row],[Namn]],V:V,W:W)</f>
        <v>0</v>
      </c>
      <c r="R97" s="12">
        <f>_xlfn.XLOOKUP(Tabell46[[#This Row],[Namn]],V:V,X:X)</f>
        <v>0</v>
      </c>
      <c r="S97" s="12">
        <f>_xlfn.XLOOKUP(Tabell46[[#This Row],[Namn]],V:V,Y:Y)</f>
        <v>0</v>
      </c>
      <c r="T97" s="12">
        <f>_xlfn.XLOOKUP(Tabell46[[#This Row],[Namn]],V:V,Z:Z)</f>
        <v>1</v>
      </c>
      <c r="V97" s="3" t="s">
        <v>206</v>
      </c>
      <c r="W97" s="152"/>
      <c r="X97" s="152"/>
      <c r="Y97" s="152">
        <v>1</v>
      </c>
      <c r="Z97" s="152"/>
      <c r="AA97" s="152">
        <v>1</v>
      </c>
      <c r="AB97"/>
      <c r="AC97" s="3" t="s">
        <v>206</v>
      </c>
      <c r="AD97" s="152">
        <v>1</v>
      </c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1">
        <v>1</v>
      </c>
      <c r="AW97" s="3" t="s">
        <v>206</v>
      </c>
      <c r="AX97" s="151"/>
      <c r="AY97" s="151"/>
      <c r="AZ97" s="151"/>
      <c r="BA97" s="151"/>
      <c r="BB97" s="151"/>
      <c r="BC97" s="151"/>
      <c r="BD97" s="151"/>
      <c r="BE97" s="151">
        <v>1</v>
      </c>
      <c r="BF97" s="151"/>
      <c r="BG97" s="151"/>
      <c r="BH97" s="151"/>
      <c r="BI97" s="151"/>
      <c r="BJ97" s="151"/>
      <c r="BK97" s="151"/>
      <c r="BL97" s="151"/>
      <c r="BM97" s="151"/>
      <c r="BN97" s="151"/>
      <c r="BO97" s="151"/>
      <c r="BP97" s="151"/>
      <c r="BQ97" s="151"/>
      <c r="BR97" s="151"/>
      <c r="BS97" s="151"/>
      <c r="BT97" s="151"/>
      <c r="BU97" s="151"/>
      <c r="BV97" s="151"/>
      <c r="BW97" s="151"/>
      <c r="BX97" s="151"/>
      <c r="BY97" s="151"/>
      <c r="BZ97" s="151"/>
      <c r="CA97" s="151"/>
      <c r="CB97" s="151"/>
      <c r="CC97" s="151">
        <v>1</v>
      </c>
    </row>
    <row r="98" spans="1:81" x14ac:dyDescent="0.25">
      <c r="A98" s="13">
        <f>Tabell46[[#This Row],[RANK MÅL]]</f>
        <v>67</v>
      </c>
      <c r="B98" s="11" t="s">
        <v>136</v>
      </c>
      <c r="C98" s="12">
        <f>SUMIF('ALLA ÅR'!B:B,Tabell46[[#This Row],[Namn]],'ALLA ÅR'!C:C)</f>
        <v>69</v>
      </c>
      <c r="D98" s="12">
        <f>SUMIF('ALLA ÅR'!B:B,Tabell46[[#This Row],[Namn]],'ALLA ÅR'!E:E)</f>
        <v>0</v>
      </c>
      <c r="E98" s="12">
        <f>SUMIF('ALLA ÅR'!B:B,Tabell46[[#This Row],[Namn]],'ALLA ÅR'!F:F)</f>
        <v>0</v>
      </c>
      <c r="F98" s="12">
        <f>SUMIF('ALLA ÅR'!B:B,Tabell46[[#This Row],[Namn]],'ALLA ÅR'!G:G)</f>
        <v>1</v>
      </c>
      <c r="G98" s="12">
        <f>VLOOKUP(Tabell46[[#This Row],[Namn]],'ALLA ÅR'!B:J,9,0)</f>
        <v>2016</v>
      </c>
      <c r="H98" s="12">
        <f>COUNTIF('ALLA ÅR'!B:B,Tabell46[[#This Row],[Namn]])</f>
        <v>5</v>
      </c>
      <c r="I98" s="12">
        <f>VLOOKUP(Tabell46[[#This Row],[Namn]],'ALLA ÅR'!B:L,11,0)</f>
        <v>20</v>
      </c>
      <c r="J98" s="12">
        <f>RANK(Tabell46[[#This Row],[MÅL]],F:F)</f>
        <v>67</v>
      </c>
      <c r="K98" s="12">
        <f>RANK(Tabell46[[#This Row],[VAR]],D:D)</f>
        <v>44</v>
      </c>
      <c r="L98" s="12">
        <f>RANK(Tabell46[[#This Row],[MAT]],C:C)</f>
        <v>12</v>
      </c>
      <c r="M98" s="14">
        <f>Tabell46[[#This Row],[MAT]]/Tabell46[[#This Row],[ANTAL MATCHER]]</f>
        <v>0.7931034482758621</v>
      </c>
      <c r="N98" s="12">
        <f>SUMIF('ALLA ÅR'!B:B,Tabell46[[#This Row],[Namn]],'ALLA ÅR'!H:H)</f>
        <v>87</v>
      </c>
      <c r="O98" s="12">
        <f>RANK(Tabell46[[#This Row],[ÅLDER]],I:I)</f>
        <v>50</v>
      </c>
      <c r="P98" s="21">
        <f>Tabell46[[#This Row],[MÅL]]/Tabell46[[#This Row],[MAT]]</f>
        <v>1.4492753623188406E-2</v>
      </c>
      <c r="Q98" s="12">
        <f>_xlfn.XLOOKUP(Tabell46[[#This Row],[Namn]],V:V,W:W)</f>
        <v>0</v>
      </c>
      <c r="R98" s="12">
        <f>_xlfn.XLOOKUP(Tabell46[[#This Row],[Namn]],V:V,X:X)</f>
        <v>0</v>
      </c>
      <c r="S98" s="12">
        <f>_xlfn.XLOOKUP(Tabell46[[#This Row],[Namn]],V:V,Y:Y)</f>
        <v>0</v>
      </c>
      <c r="T98" s="12">
        <f>_xlfn.XLOOKUP(Tabell46[[#This Row],[Namn]],V:V,Z:Z)</f>
        <v>1</v>
      </c>
      <c r="V98" s="3" t="s">
        <v>187</v>
      </c>
      <c r="W98" s="152"/>
      <c r="X98" s="152"/>
      <c r="Y98" s="152">
        <v>1</v>
      </c>
      <c r="Z98" s="152"/>
      <c r="AA98" s="152">
        <v>1</v>
      </c>
      <c r="AB98"/>
      <c r="AC98" s="3" t="s">
        <v>173</v>
      </c>
      <c r="AD98" s="152"/>
      <c r="AE98" s="152"/>
      <c r="AF98" s="152"/>
      <c r="AG98" s="152">
        <v>0</v>
      </c>
      <c r="AH98" s="152">
        <v>1</v>
      </c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1">
        <v>1</v>
      </c>
      <c r="AW98" s="3" t="s">
        <v>173</v>
      </c>
      <c r="AX98" s="151"/>
      <c r="AY98" s="151">
        <v>0</v>
      </c>
      <c r="AZ98" s="151">
        <v>1</v>
      </c>
      <c r="BA98" s="151"/>
      <c r="BB98" s="151"/>
      <c r="BC98" s="151"/>
      <c r="BD98" s="151"/>
      <c r="BE98" s="151"/>
      <c r="BF98" s="151"/>
      <c r="BG98" s="151"/>
      <c r="BH98" s="151"/>
      <c r="BI98" s="151"/>
      <c r="BJ98" s="151"/>
      <c r="BK98" s="151"/>
      <c r="BL98" s="151"/>
      <c r="BM98" s="151"/>
      <c r="BN98" s="151"/>
      <c r="BO98" s="151"/>
      <c r="BP98" s="151"/>
      <c r="BQ98" s="151"/>
      <c r="BR98" s="151"/>
      <c r="BS98" s="151"/>
      <c r="BT98" s="151"/>
      <c r="BU98" s="151"/>
      <c r="BV98" s="151"/>
      <c r="BW98" s="151"/>
      <c r="BX98" s="151"/>
      <c r="BY98" s="151"/>
      <c r="BZ98" s="151"/>
      <c r="CA98" s="151"/>
      <c r="CB98" s="151"/>
      <c r="CC98" s="151">
        <v>1</v>
      </c>
    </row>
    <row r="99" spans="1:81" x14ac:dyDescent="0.25">
      <c r="A99" s="15">
        <f>Tabell46[[#This Row],[RANK MÅL]]</f>
        <v>67</v>
      </c>
      <c r="B99" s="11" t="s">
        <v>140</v>
      </c>
      <c r="C99" s="12">
        <f>SUMIF('ALLA ÅR'!B:B,Tabell46[[#This Row],[Namn]],'ALLA ÅR'!C:C)</f>
        <v>17</v>
      </c>
      <c r="D99" s="12">
        <f>SUMIF('ALLA ÅR'!B:B,Tabell46[[#This Row],[Namn]],'ALLA ÅR'!E:E)</f>
        <v>0</v>
      </c>
      <c r="E99" s="12">
        <f>SUMIF('ALLA ÅR'!B:B,Tabell46[[#This Row],[Namn]],'ALLA ÅR'!F:F)</f>
        <v>0</v>
      </c>
      <c r="F99" s="12">
        <f>SUMIF('ALLA ÅR'!B:B,Tabell46[[#This Row],[Namn]],'ALLA ÅR'!G:G)</f>
        <v>1</v>
      </c>
      <c r="G99" s="12">
        <f>VLOOKUP(Tabell46[[#This Row],[Namn]],'ALLA ÅR'!B:J,9,0)</f>
        <v>2016</v>
      </c>
      <c r="H99" s="12">
        <f>COUNTIF('ALLA ÅR'!B:B,Tabell46[[#This Row],[Namn]])</f>
        <v>2</v>
      </c>
      <c r="I99" s="12">
        <f>VLOOKUP(Tabell46[[#This Row],[Namn]],'ALLA ÅR'!B:L,11,0)</f>
        <v>16</v>
      </c>
      <c r="J99" s="12">
        <f>RANK(Tabell46[[#This Row],[MÅL]],F:F)</f>
        <v>67</v>
      </c>
      <c r="K99" s="12">
        <f>RANK(Tabell46[[#This Row],[VAR]],D:D)</f>
        <v>44</v>
      </c>
      <c r="L99" s="12">
        <f>RANK(Tabell46[[#This Row],[MAT]],C:C)</f>
        <v>65</v>
      </c>
      <c r="M99" s="14">
        <f>Tabell46[[#This Row],[MAT]]/Tabell46[[#This Row],[ANTAL MATCHER]]</f>
        <v>0.4358974358974359</v>
      </c>
      <c r="N99" s="12">
        <f>SUMIF('ALLA ÅR'!B:B,Tabell46[[#This Row],[Namn]],'ALLA ÅR'!H:H)</f>
        <v>39</v>
      </c>
      <c r="O99" s="12">
        <f>RANK(Tabell46[[#This Row],[ÅLDER]],I:I)</f>
        <v>88</v>
      </c>
      <c r="P99" s="21">
        <f>Tabell46[[#This Row],[MÅL]]/Tabell46[[#This Row],[MAT]]</f>
        <v>5.8823529411764705E-2</v>
      </c>
      <c r="Q99" s="12">
        <f>_xlfn.XLOOKUP(Tabell46[[#This Row],[Namn]],V:V,W:W)</f>
        <v>0</v>
      </c>
      <c r="R99" s="12">
        <f>_xlfn.XLOOKUP(Tabell46[[#This Row],[Namn]],V:V,X:X)</f>
        <v>0</v>
      </c>
      <c r="S99" s="12">
        <f>_xlfn.XLOOKUP(Tabell46[[#This Row],[Namn]],V:V,Y:Y)</f>
        <v>0</v>
      </c>
      <c r="T99" s="12">
        <f>_xlfn.XLOOKUP(Tabell46[[#This Row],[Namn]],V:V,Z:Z)</f>
        <v>1</v>
      </c>
      <c r="V99" s="3" t="s">
        <v>119</v>
      </c>
      <c r="W99" s="152"/>
      <c r="X99" s="152"/>
      <c r="Y99" s="152">
        <v>1</v>
      </c>
      <c r="Z99" s="152">
        <v>0</v>
      </c>
      <c r="AA99" s="152">
        <v>1</v>
      </c>
      <c r="AB99"/>
      <c r="AC99" s="3" t="s">
        <v>119</v>
      </c>
      <c r="AD99" s="152"/>
      <c r="AE99" s="152"/>
      <c r="AF99" s="152"/>
      <c r="AG99" s="152"/>
      <c r="AH99" s="152"/>
      <c r="AI99" s="152"/>
      <c r="AJ99" s="152">
        <v>0</v>
      </c>
      <c r="AK99" s="152">
        <v>1</v>
      </c>
      <c r="AL99" s="152"/>
      <c r="AM99" s="152"/>
      <c r="AN99" s="152"/>
      <c r="AO99" s="152"/>
      <c r="AP99" s="152"/>
      <c r="AQ99" s="152"/>
      <c r="AR99" s="152"/>
      <c r="AS99" s="152"/>
      <c r="AT99" s="152"/>
      <c r="AU99" s="151">
        <v>1</v>
      </c>
      <c r="AW99" s="3" t="s">
        <v>119</v>
      </c>
      <c r="AX99" s="151"/>
      <c r="AY99" s="151"/>
      <c r="AZ99" s="151">
        <v>0</v>
      </c>
      <c r="BA99" s="151">
        <v>1</v>
      </c>
      <c r="BB99" s="151"/>
      <c r="BC99" s="151"/>
      <c r="BD99" s="151"/>
      <c r="BE99" s="151"/>
      <c r="BF99" s="151"/>
      <c r="BG99" s="151"/>
      <c r="BH99" s="151"/>
      <c r="BI99" s="151"/>
      <c r="BJ99" s="151"/>
      <c r="BK99" s="151"/>
      <c r="BL99" s="151"/>
      <c r="BM99" s="151"/>
      <c r="BN99" s="151"/>
      <c r="BO99" s="151"/>
      <c r="BP99" s="151"/>
      <c r="BQ99" s="151"/>
      <c r="BR99" s="151"/>
      <c r="BS99" s="151"/>
      <c r="BT99" s="151"/>
      <c r="BU99" s="151"/>
      <c r="BV99" s="151"/>
      <c r="BW99" s="151"/>
      <c r="BX99" s="151"/>
      <c r="BY99" s="151"/>
      <c r="BZ99" s="151"/>
      <c r="CA99" s="151"/>
      <c r="CB99" s="151"/>
      <c r="CC99" s="151">
        <v>1</v>
      </c>
    </row>
    <row r="100" spans="1:81" x14ac:dyDescent="0.25">
      <c r="A100" s="13">
        <f>Tabell46[[#This Row],[RANK MÅL]]</f>
        <v>67</v>
      </c>
      <c r="B100" s="11" t="s">
        <v>141</v>
      </c>
      <c r="C100" s="12">
        <f>SUMIF('ALLA ÅR'!B:B,Tabell46[[#This Row],[Namn]],'ALLA ÅR'!C:C)</f>
        <v>5</v>
      </c>
      <c r="D100" s="12">
        <f>SUMIF('ALLA ÅR'!B:B,Tabell46[[#This Row],[Namn]],'ALLA ÅR'!E:E)</f>
        <v>0</v>
      </c>
      <c r="E100" s="12">
        <f>SUMIF('ALLA ÅR'!B:B,Tabell46[[#This Row],[Namn]],'ALLA ÅR'!F:F)</f>
        <v>0</v>
      </c>
      <c r="F100" s="12">
        <f>SUMIF('ALLA ÅR'!B:B,Tabell46[[#This Row],[Namn]],'ALLA ÅR'!G:G)</f>
        <v>1</v>
      </c>
      <c r="G100" s="12">
        <f>VLOOKUP(Tabell46[[#This Row],[Namn]],'ALLA ÅR'!B:J,9,0)</f>
        <v>2016</v>
      </c>
      <c r="H100" s="12">
        <f>COUNTIF('ALLA ÅR'!B:B,Tabell46[[#This Row],[Namn]])</f>
        <v>1</v>
      </c>
      <c r="I100" s="12">
        <f>VLOOKUP(Tabell46[[#This Row],[Namn]],'ALLA ÅR'!B:L,11,0)</f>
        <v>17</v>
      </c>
      <c r="J100" s="12">
        <f>RANK(Tabell46[[#This Row],[MÅL]],F:F)</f>
        <v>67</v>
      </c>
      <c r="K100" s="12">
        <f>RANK(Tabell46[[#This Row],[VAR]],D:D)</f>
        <v>44</v>
      </c>
      <c r="L100" s="12">
        <f>RANK(Tabell46[[#This Row],[MAT]],C:C)</f>
        <v>93</v>
      </c>
      <c r="M100" s="14">
        <f>Tabell46[[#This Row],[MAT]]/Tabell46[[#This Row],[ANTAL MATCHER]]</f>
        <v>0.3125</v>
      </c>
      <c r="N100" s="12">
        <f>SUMIF('ALLA ÅR'!B:B,Tabell46[[#This Row],[Namn]],'ALLA ÅR'!H:H)</f>
        <v>16</v>
      </c>
      <c r="O100" s="12">
        <f>RANK(Tabell46[[#This Row],[ÅLDER]],I:I)</f>
        <v>81</v>
      </c>
      <c r="P100" s="21">
        <f>Tabell46[[#This Row],[MÅL]]/Tabell46[[#This Row],[MAT]]</f>
        <v>0.2</v>
      </c>
      <c r="Q100" s="12">
        <f>_xlfn.XLOOKUP(Tabell46[[#This Row],[Namn]],V:V,W:W)</f>
        <v>0</v>
      </c>
      <c r="R100" s="12">
        <f>_xlfn.XLOOKUP(Tabell46[[#This Row],[Namn]],V:V,X:X)</f>
        <v>0</v>
      </c>
      <c r="S100" s="12">
        <f>_xlfn.XLOOKUP(Tabell46[[#This Row],[Namn]],V:V,Y:Y)</f>
        <v>0</v>
      </c>
      <c r="T100" s="12">
        <f>_xlfn.XLOOKUP(Tabell46[[#This Row],[Namn]],V:V,Z:Z)</f>
        <v>1</v>
      </c>
      <c r="V100" s="3" t="s">
        <v>87</v>
      </c>
      <c r="W100" s="152">
        <v>0</v>
      </c>
      <c r="X100" s="152">
        <v>0</v>
      </c>
      <c r="Y100" s="152">
        <v>1</v>
      </c>
      <c r="Z100" s="152"/>
      <c r="AA100" s="152">
        <v>1</v>
      </c>
      <c r="AB100"/>
      <c r="AC100" s="3" t="s">
        <v>165</v>
      </c>
      <c r="AD100" s="152"/>
      <c r="AE100" s="152"/>
      <c r="AF100" s="152"/>
      <c r="AG100" s="152"/>
      <c r="AH100" s="152"/>
      <c r="AI100" s="152">
        <v>1</v>
      </c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1">
        <v>1</v>
      </c>
      <c r="AW100" s="3" t="s">
        <v>165</v>
      </c>
      <c r="AX100" s="151"/>
      <c r="AY100" s="151">
        <v>1</v>
      </c>
      <c r="AZ100" s="151"/>
      <c r="BA100" s="151"/>
      <c r="BB100" s="151"/>
      <c r="BC100" s="151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1"/>
      <c r="BN100" s="151"/>
      <c r="BO100" s="151"/>
      <c r="BP100" s="151"/>
      <c r="BQ100" s="151"/>
      <c r="BR100" s="151"/>
      <c r="BS100" s="151"/>
      <c r="BT100" s="151"/>
      <c r="BU100" s="151"/>
      <c r="BV100" s="151"/>
      <c r="BW100" s="151"/>
      <c r="BX100" s="151"/>
      <c r="BY100" s="151"/>
      <c r="BZ100" s="151"/>
      <c r="CA100" s="151"/>
      <c r="CB100" s="151"/>
      <c r="CC100" s="151">
        <v>1</v>
      </c>
    </row>
    <row r="101" spans="1:81" x14ac:dyDescent="0.25">
      <c r="A101" s="15">
        <f>Tabell46[[#This Row],[RANK MÅL]]</f>
        <v>67</v>
      </c>
      <c r="B101" s="11" t="s">
        <v>146</v>
      </c>
      <c r="C101" s="12">
        <f>SUMIF('ALLA ÅR'!B:B,Tabell46[[#This Row],[Namn]],'ALLA ÅR'!C:C)</f>
        <v>5</v>
      </c>
      <c r="D101" s="12">
        <f>SUMIF('ALLA ÅR'!B:B,Tabell46[[#This Row],[Namn]],'ALLA ÅR'!E:E)</f>
        <v>0</v>
      </c>
      <c r="E101" s="12">
        <f>SUMIF('ALLA ÅR'!B:B,Tabell46[[#This Row],[Namn]],'ALLA ÅR'!F:F)</f>
        <v>0</v>
      </c>
      <c r="F101" s="12">
        <f>SUMIF('ALLA ÅR'!B:B,Tabell46[[#This Row],[Namn]],'ALLA ÅR'!G:G)</f>
        <v>1</v>
      </c>
      <c r="G101" s="12">
        <f>VLOOKUP(Tabell46[[#This Row],[Namn]],'ALLA ÅR'!B:J,9,0)</f>
        <v>2016</v>
      </c>
      <c r="H101" s="12">
        <f>COUNTIF('ALLA ÅR'!B:B,Tabell46[[#This Row],[Namn]])</f>
        <v>2</v>
      </c>
      <c r="I101" s="12">
        <f>VLOOKUP(Tabell46[[#This Row],[Namn]],'ALLA ÅR'!B:L,11,0)</f>
        <v>15</v>
      </c>
      <c r="J101" s="12">
        <f>RANK(Tabell46[[#This Row],[MÅL]],F:F)</f>
        <v>67</v>
      </c>
      <c r="K101" s="12">
        <f>RANK(Tabell46[[#This Row],[VAR]],D:D)</f>
        <v>44</v>
      </c>
      <c r="L101" s="12">
        <f>RANK(Tabell46[[#This Row],[MAT]],C:C)</f>
        <v>93</v>
      </c>
      <c r="M101" s="14">
        <f>Tabell46[[#This Row],[MAT]]/Tabell46[[#This Row],[ANTAL MATCHER]]</f>
        <v>0.12820512820512819</v>
      </c>
      <c r="N101" s="12">
        <f>SUMIF('ALLA ÅR'!B:B,Tabell46[[#This Row],[Namn]],'ALLA ÅR'!H:H)</f>
        <v>39</v>
      </c>
      <c r="O101" s="12">
        <f>RANK(Tabell46[[#This Row],[ÅLDER]],I:I)</f>
        <v>97</v>
      </c>
      <c r="P101" s="21">
        <f>Tabell46[[#This Row],[MÅL]]/Tabell46[[#This Row],[MAT]]</f>
        <v>0.2</v>
      </c>
      <c r="Q101" s="12">
        <f>_xlfn.XLOOKUP(Tabell46[[#This Row],[Namn]],V:V,W:W)</f>
        <v>0</v>
      </c>
      <c r="R101" s="12">
        <f>_xlfn.XLOOKUP(Tabell46[[#This Row],[Namn]],V:V,X:X)</f>
        <v>0</v>
      </c>
      <c r="S101" s="12">
        <f>_xlfn.XLOOKUP(Tabell46[[#This Row],[Namn]],V:V,Y:Y)</f>
        <v>0</v>
      </c>
      <c r="T101" s="12">
        <f>_xlfn.XLOOKUP(Tabell46[[#This Row],[Namn]],V:V,Z:Z)</f>
        <v>1</v>
      </c>
      <c r="V101" s="3" t="s">
        <v>39</v>
      </c>
      <c r="W101" s="152"/>
      <c r="X101" s="152">
        <v>1</v>
      </c>
      <c r="Y101" s="152"/>
      <c r="Z101" s="152">
        <v>0</v>
      </c>
      <c r="AA101" s="152">
        <v>1</v>
      </c>
      <c r="AB101"/>
      <c r="AC101" s="3" t="s">
        <v>181</v>
      </c>
      <c r="AD101" s="152"/>
      <c r="AE101" s="152">
        <v>0</v>
      </c>
      <c r="AF101" s="152">
        <v>1</v>
      </c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1">
        <v>1</v>
      </c>
      <c r="AW101" s="3" t="s">
        <v>181</v>
      </c>
      <c r="AX101" s="151"/>
      <c r="AY101" s="151"/>
      <c r="AZ101" s="151"/>
      <c r="BA101" s="151"/>
      <c r="BB101" s="151">
        <v>0</v>
      </c>
      <c r="BC101" s="151">
        <v>1</v>
      </c>
      <c r="BD101" s="151"/>
      <c r="BE101" s="151"/>
      <c r="BF101" s="151"/>
      <c r="BG101" s="151"/>
      <c r="BH101" s="151"/>
      <c r="BI101" s="151"/>
      <c r="BJ101" s="151"/>
      <c r="BK101" s="151"/>
      <c r="BL101" s="151"/>
      <c r="BM101" s="151"/>
      <c r="BN101" s="151"/>
      <c r="BO101" s="151"/>
      <c r="BP101" s="151"/>
      <c r="BQ101" s="151"/>
      <c r="BR101" s="151"/>
      <c r="BS101" s="151"/>
      <c r="BT101" s="151"/>
      <c r="BU101" s="151"/>
      <c r="BV101" s="151"/>
      <c r="BW101" s="151"/>
      <c r="BX101" s="151"/>
      <c r="BY101" s="151"/>
      <c r="BZ101" s="151"/>
      <c r="CA101" s="151"/>
      <c r="CB101" s="151"/>
      <c r="CC101" s="151">
        <v>1</v>
      </c>
    </row>
    <row r="102" spans="1:81" x14ac:dyDescent="0.25">
      <c r="A102" s="13">
        <f>Tabell46[[#This Row],[RANK MÅL]]</f>
        <v>67</v>
      </c>
      <c r="B102" s="11" t="s">
        <v>151</v>
      </c>
      <c r="C102" s="12">
        <f>SUMIF('ALLA ÅR'!B:B,Tabell46[[#This Row],[Namn]],'ALLA ÅR'!C:C)</f>
        <v>12</v>
      </c>
      <c r="D102" s="12">
        <f>SUMIF('ALLA ÅR'!B:B,Tabell46[[#This Row],[Namn]],'ALLA ÅR'!E:E)</f>
        <v>0</v>
      </c>
      <c r="E102" s="12">
        <f>SUMIF('ALLA ÅR'!B:B,Tabell46[[#This Row],[Namn]],'ALLA ÅR'!F:F)</f>
        <v>0</v>
      </c>
      <c r="F102" s="12">
        <f>SUMIF('ALLA ÅR'!B:B,Tabell46[[#This Row],[Namn]],'ALLA ÅR'!G:G)</f>
        <v>1</v>
      </c>
      <c r="G102" s="12">
        <f>VLOOKUP(Tabell46[[#This Row],[Namn]],'ALLA ÅR'!B:J,9,0)</f>
        <v>2015</v>
      </c>
      <c r="H102" s="12">
        <f>COUNTIF('ALLA ÅR'!B:B,Tabell46[[#This Row],[Namn]])</f>
        <v>2</v>
      </c>
      <c r="I102" s="12">
        <f>VLOOKUP(Tabell46[[#This Row],[Namn]],'ALLA ÅR'!B:L,11,0)</f>
        <v>16</v>
      </c>
      <c r="J102" s="12">
        <f>RANK(Tabell46[[#This Row],[MÅL]],F:F)</f>
        <v>67</v>
      </c>
      <c r="K102" s="12">
        <f>RANK(Tabell46[[#This Row],[VAR]],D:D)</f>
        <v>44</v>
      </c>
      <c r="L102" s="12">
        <f>RANK(Tabell46[[#This Row],[MAT]],C:C)</f>
        <v>77</v>
      </c>
      <c r="M102" s="14">
        <f>Tabell46[[#This Row],[MAT]]/Tabell46[[#This Row],[ANTAL MATCHER]]</f>
        <v>0.30769230769230771</v>
      </c>
      <c r="N102" s="12">
        <f>SUMIF('ALLA ÅR'!B:B,Tabell46[[#This Row],[Namn]],'ALLA ÅR'!H:H)</f>
        <v>39</v>
      </c>
      <c r="O102" s="12">
        <f>RANK(Tabell46[[#This Row],[ÅLDER]],I:I)</f>
        <v>88</v>
      </c>
      <c r="P102" s="21">
        <f>Tabell46[[#This Row],[MÅL]]/Tabell46[[#This Row],[MAT]]</f>
        <v>8.3333333333333329E-2</v>
      </c>
      <c r="Q102" s="12">
        <f>_xlfn.XLOOKUP(Tabell46[[#This Row],[Namn]],V:V,W:W)</f>
        <v>0</v>
      </c>
      <c r="R102" s="12">
        <f>_xlfn.XLOOKUP(Tabell46[[#This Row],[Namn]],V:V,X:X)</f>
        <v>0</v>
      </c>
      <c r="S102" s="12">
        <f>_xlfn.XLOOKUP(Tabell46[[#This Row],[Namn]],V:V,Y:Y)</f>
        <v>0</v>
      </c>
      <c r="T102" s="12">
        <f>_xlfn.XLOOKUP(Tabell46[[#This Row],[Namn]],V:V,Z:Z)</f>
        <v>1</v>
      </c>
      <c r="V102" s="3" t="s">
        <v>146</v>
      </c>
      <c r="W102" s="152"/>
      <c r="X102" s="152"/>
      <c r="Y102" s="152"/>
      <c r="Z102" s="152">
        <v>1</v>
      </c>
      <c r="AA102" s="152">
        <v>1</v>
      </c>
      <c r="AB102"/>
      <c r="AC102" s="3" t="s">
        <v>146</v>
      </c>
      <c r="AD102" s="152"/>
      <c r="AE102" s="152"/>
      <c r="AF102" s="152"/>
      <c r="AG102" s="152"/>
      <c r="AH102" s="152"/>
      <c r="AI102" s="152">
        <v>1</v>
      </c>
      <c r="AJ102" s="152">
        <v>0</v>
      </c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1">
        <v>1</v>
      </c>
      <c r="AW102" s="3" t="s">
        <v>146</v>
      </c>
      <c r="AX102" s="151"/>
      <c r="AY102" s="151">
        <v>1</v>
      </c>
      <c r="AZ102" s="151">
        <v>0</v>
      </c>
      <c r="BA102" s="151"/>
      <c r="BB102" s="151"/>
      <c r="BC102" s="151"/>
      <c r="BD102" s="151"/>
      <c r="BE102" s="151"/>
      <c r="BF102" s="151"/>
      <c r="BG102" s="151"/>
      <c r="BH102" s="151"/>
      <c r="BI102" s="151"/>
      <c r="BJ102" s="151"/>
      <c r="BK102" s="151"/>
      <c r="BL102" s="151"/>
      <c r="BM102" s="151"/>
      <c r="BN102" s="151"/>
      <c r="BO102" s="151"/>
      <c r="BP102" s="151"/>
      <c r="BQ102" s="151"/>
      <c r="BR102" s="151"/>
      <c r="BS102" s="151"/>
      <c r="BT102" s="151"/>
      <c r="BU102" s="151"/>
      <c r="BV102" s="151"/>
      <c r="BW102" s="151"/>
      <c r="BX102" s="151"/>
      <c r="BY102" s="151"/>
      <c r="BZ102" s="151"/>
      <c r="CA102" s="151"/>
      <c r="CB102" s="151"/>
      <c r="CC102" s="151">
        <v>1</v>
      </c>
    </row>
    <row r="103" spans="1:81" x14ac:dyDescent="0.25">
      <c r="A103" s="15">
        <f>Tabell46[[#This Row],[RANK MÅL]]</f>
        <v>67</v>
      </c>
      <c r="B103" s="11" t="s">
        <v>157</v>
      </c>
      <c r="C103" s="12">
        <f>SUMIF('ALLA ÅR'!B:B,Tabell46[[#This Row],[Namn]],'ALLA ÅR'!C:C)</f>
        <v>5</v>
      </c>
      <c r="D103" s="12">
        <f>SUMIF('ALLA ÅR'!B:B,Tabell46[[#This Row],[Namn]],'ALLA ÅR'!E:E)</f>
        <v>0</v>
      </c>
      <c r="E103" s="12">
        <f>SUMIF('ALLA ÅR'!B:B,Tabell46[[#This Row],[Namn]],'ALLA ÅR'!F:F)</f>
        <v>0</v>
      </c>
      <c r="F103" s="12">
        <f>SUMIF('ALLA ÅR'!B:B,Tabell46[[#This Row],[Namn]],'ALLA ÅR'!G:G)</f>
        <v>1</v>
      </c>
      <c r="G103" s="12">
        <f>VLOOKUP(Tabell46[[#This Row],[Namn]],'ALLA ÅR'!B:J,9,0)</f>
        <v>2015</v>
      </c>
      <c r="H103" s="12">
        <f>COUNTIF('ALLA ÅR'!B:B,Tabell46[[#This Row],[Namn]])</f>
        <v>1</v>
      </c>
      <c r="I103" s="12">
        <f>VLOOKUP(Tabell46[[#This Row],[Namn]],'ALLA ÅR'!B:L,11,0)</f>
        <v>14</v>
      </c>
      <c r="J103" s="12">
        <f>RANK(Tabell46[[#This Row],[MÅL]],F:F)</f>
        <v>67</v>
      </c>
      <c r="K103" s="12">
        <f>RANK(Tabell46[[#This Row],[VAR]],D:D)</f>
        <v>44</v>
      </c>
      <c r="L103" s="12">
        <f>RANK(Tabell46[[#This Row],[MAT]],C:C)</f>
        <v>93</v>
      </c>
      <c r="M103" s="14">
        <f>Tabell46[[#This Row],[MAT]]/Tabell46[[#This Row],[ANTAL MATCHER]]</f>
        <v>0.21739130434782608</v>
      </c>
      <c r="N103" s="12">
        <f>SUMIF('ALLA ÅR'!B:B,Tabell46[[#This Row],[Namn]],'ALLA ÅR'!H:H)</f>
        <v>23</v>
      </c>
      <c r="O103" s="12">
        <f>RANK(Tabell46[[#This Row],[ÅLDER]],I:I)</f>
        <v>103</v>
      </c>
      <c r="P103" s="21">
        <f>Tabell46[[#This Row],[MÅL]]/Tabell46[[#This Row],[MAT]]</f>
        <v>0.2</v>
      </c>
      <c r="Q103" s="12">
        <f>_xlfn.XLOOKUP(Tabell46[[#This Row],[Namn]],V:V,W:W)</f>
        <v>0</v>
      </c>
      <c r="R103" s="12">
        <f>_xlfn.XLOOKUP(Tabell46[[#This Row],[Namn]],V:V,X:X)</f>
        <v>0</v>
      </c>
      <c r="S103" s="12">
        <f>_xlfn.XLOOKUP(Tabell46[[#This Row],[Namn]],V:V,Y:Y)</f>
        <v>0</v>
      </c>
      <c r="T103" s="12">
        <f>_xlfn.XLOOKUP(Tabell46[[#This Row],[Namn]],V:V,Z:Z)</f>
        <v>1</v>
      </c>
      <c r="V103" s="3" t="s">
        <v>136</v>
      </c>
      <c r="W103" s="152"/>
      <c r="X103" s="152"/>
      <c r="Y103" s="152"/>
      <c r="Z103" s="152">
        <v>1</v>
      </c>
      <c r="AA103" s="152">
        <v>1</v>
      </c>
      <c r="AB103"/>
      <c r="AC103" s="3" t="s">
        <v>136</v>
      </c>
      <c r="AD103" s="152"/>
      <c r="AE103" s="152"/>
      <c r="AF103" s="152">
        <v>0</v>
      </c>
      <c r="AG103" s="152">
        <v>0</v>
      </c>
      <c r="AH103" s="152">
        <v>0</v>
      </c>
      <c r="AI103" s="152">
        <v>0</v>
      </c>
      <c r="AJ103" s="152">
        <v>1</v>
      </c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1">
        <v>1</v>
      </c>
      <c r="AW103" s="3" t="s">
        <v>136</v>
      </c>
      <c r="AX103" s="151"/>
      <c r="AY103" s="151"/>
      <c r="AZ103" s="151"/>
      <c r="BA103" s="151">
        <v>0</v>
      </c>
      <c r="BB103" s="151">
        <v>0</v>
      </c>
      <c r="BC103" s="151">
        <v>0</v>
      </c>
      <c r="BD103" s="151">
        <v>0</v>
      </c>
      <c r="BE103" s="151">
        <v>1</v>
      </c>
      <c r="BF103" s="151"/>
      <c r="BG103" s="151"/>
      <c r="BH103" s="151"/>
      <c r="BI103" s="151"/>
      <c r="BJ103" s="151"/>
      <c r="BK103" s="151"/>
      <c r="BL103" s="151"/>
      <c r="BM103" s="151"/>
      <c r="BN103" s="151"/>
      <c r="BO103" s="151"/>
      <c r="BP103" s="151"/>
      <c r="BQ103" s="151"/>
      <c r="BR103" s="151"/>
      <c r="BS103" s="151"/>
      <c r="BT103" s="151"/>
      <c r="BU103" s="151"/>
      <c r="BV103" s="151"/>
      <c r="BW103" s="151"/>
      <c r="BX103" s="151"/>
      <c r="BY103" s="151"/>
      <c r="BZ103" s="151"/>
      <c r="CA103" s="151"/>
      <c r="CB103" s="151"/>
      <c r="CC103" s="151">
        <v>1</v>
      </c>
    </row>
    <row r="104" spans="1:81" x14ac:dyDescent="0.25">
      <c r="A104" s="13">
        <f>Tabell46[[#This Row],[RANK MÅL]]</f>
        <v>67</v>
      </c>
      <c r="B104" s="11" t="s">
        <v>159</v>
      </c>
      <c r="C104" s="12">
        <f>SUMIF('ALLA ÅR'!B:B,Tabell46[[#This Row],[Namn]],'ALLA ÅR'!C:C)</f>
        <v>4</v>
      </c>
      <c r="D104" s="12">
        <f>SUMIF('ALLA ÅR'!B:B,Tabell46[[#This Row],[Namn]],'ALLA ÅR'!E:E)</f>
        <v>0</v>
      </c>
      <c r="E104" s="12">
        <f>SUMIF('ALLA ÅR'!B:B,Tabell46[[#This Row],[Namn]],'ALLA ÅR'!F:F)</f>
        <v>0</v>
      </c>
      <c r="F104" s="12">
        <f>SUMIF('ALLA ÅR'!B:B,Tabell46[[#This Row],[Namn]],'ALLA ÅR'!G:G)</f>
        <v>1</v>
      </c>
      <c r="G104" s="12">
        <f>VLOOKUP(Tabell46[[#This Row],[Namn]],'ALLA ÅR'!B:J,9,0)</f>
        <v>2015</v>
      </c>
      <c r="H104" s="12">
        <f>COUNTIF('ALLA ÅR'!B:B,Tabell46[[#This Row],[Namn]])</f>
        <v>1</v>
      </c>
      <c r="I104" s="12">
        <f>VLOOKUP(Tabell46[[#This Row],[Namn]],'ALLA ÅR'!B:L,11,0)</f>
        <v>14</v>
      </c>
      <c r="J104" s="12">
        <f>RANK(Tabell46[[#This Row],[MÅL]],F:F)</f>
        <v>67</v>
      </c>
      <c r="K104" s="12">
        <f>RANK(Tabell46[[#This Row],[VAR]],D:D)</f>
        <v>44</v>
      </c>
      <c r="L104" s="12">
        <f>RANK(Tabell46[[#This Row],[MAT]],C:C)</f>
        <v>96</v>
      </c>
      <c r="M104" s="14">
        <f>Tabell46[[#This Row],[MAT]]/Tabell46[[#This Row],[ANTAL MATCHER]]</f>
        <v>0.17391304347826086</v>
      </c>
      <c r="N104" s="12">
        <f>SUMIF('ALLA ÅR'!B:B,Tabell46[[#This Row],[Namn]],'ALLA ÅR'!H:H)</f>
        <v>23</v>
      </c>
      <c r="O104" s="12">
        <f>RANK(Tabell46[[#This Row],[ÅLDER]],I:I)</f>
        <v>103</v>
      </c>
      <c r="P104" s="21">
        <f>Tabell46[[#This Row],[MÅL]]/Tabell46[[#This Row],[MAT]]</f>
        <v>0.25</v>
      </c>
      <c r="Q104" s="12">
        <f>_xlfn.XLOOKUP(Tabell46[[#This Row],[Namn]],V:V,W:W)</f>
        <v>0</v>
      </c>
      <c r="R104" s="12">
        <f>_xlfn.XLOOKUP(Tabell46[[#This Row],[Namn]],V:V,X:X)</f>
        <v>0</v>
      </c>
      <c r="S104" s="12">
        <f>_xlfn.XLOOKUP(Tabell46[[#This Row],[Namn]],V:V,Y:Y)</f>
        <v>0</v>
      </c>
      <c r="T104" s="12">
        <f>_xlfn.XLOOKUP(Tabell46[[#This Row],[Namn]],V:V,Z:Z)</f>
        <v>1</v>
      </c>
      <c r="V104" s="3" t="s">
        <v>86</v>
      </c>
      <c r="W104" s="152">
        <v>0</v>
      </c>
      <c r="X104" s="152">
        <v>1</v>
      </c>
      <c r="Y104" s="152">
        <v>0</v>
      </c>
      <c r="Z104" s="152"/>
      <c r="AA104" s="152">
        <v>1</v>
      </c>
      <c r="AB104"/>
      <c r="AC104" s="3" t="s">
        <v>86</v>
      </c>
      <c r="AD104" s="152"/>
      <c r="AE104" s="152"/>
      <c r="AF104" s="152"/>
      <c r="AG104" s="152"/>
      <c r="AH104" s="152"/>
      <c r="AI104" s="152"/>
      <c r="AJ104" s="152"/>
      <c r="AK104" s="152">
        <v>0</v>
      </c>
      <c r="AL104" s="152"/>
      <c r="AM104" s="152">
        <v>1</v>
      </c>
      <c r="AN104" s="152">
        <v>0</v>
      </c>
      <c r="AO104" s="152">
        <v>0</v>
      </c>
      <c r="AP104" s="152">
        <v>0</v>
      </c>
      <c r="AQ104" s="152"/>
      <c r="AR104" s="152"/>
      <c r="AS104" s="152"/>
      <c r="AT104" s="152"/>
      <c r="AU104" s="151">
        <v>1</v>
      </c>
      <c r="AW104" s="3" t="s">
        <v>86</v>
      </c>
      <c r="AX104" s="151"/>
      <c r="AY104" s="151">
        <v>0</v>
      </c>
      <c r="AZ104" s="151"/>
      <c r="BA104" s="151">
        <v>1</v>
      </c>
      <c r="BB104" s="151">
        <v>0</v>
      </c>
      <c r="BC104" s="151">
        <v>0</v>
      </c>
      <c r="BD104" s="151">
        <v>0</v>
      </c>
      <c r="BE104" s="151"/>
      <c r="BF104" s="151"/>
      <c r="BG104" s="151"/>
      <c r="BH104" s="151"/>
      <c r="BI104" s="151"/>
      <c r="BJ104" s="151"/>
      <c r="BK104" s="151"/>
      <c r="BL104" s="151"/>
      <c r="BM104" s="151"/>
      <c r="BN104" s="151"/>
      <c r="BO104" s="151"/>
      <c r="BP104" s="151"/>
      <c r="BQ104" s="151"/>
      <c r="BR104" s="151"/>
      <c r="BS104" s="151"/>
      <c r="BT104" s="151"/>
      <c r="BU104" s="151"/>
      <c r="BV104" s="151"/>
      <c r="BW104" s="151"/>
      <c r="BX104" s="151"/>
      <c r="BY104" s="151"/>
      <c r="BZ104" s="151"/>
      <c r="CA104" s="151"/>
      <c r="CB104" s="151"/>
      <c r="CC104" s="151">
        <v>1</v>
      </c>
    </row>
    <row r="105" spans="1:81" x14ac:dyDescent="0.25">
      <c r="A105" s="15">
        <f>Tabell46[[#This Row],[RANK MÅL]]</f>
        <v>67</v>
      </c>
      <c r="B105" s="11" t="s">
        <v>165</v>
      </c>
      <c r="C105" s="12">
        <f>SUMIF('ALLA ÅR'!B:B,Tabell46[[#This Row],[Namn]],'ALLA ÅR'!C:C)</f>
        <v>2</v>
      </c>
      <c r="D105" s="12">
        <f>SUMIF('ALLA ÅR'!B:B,Tabell46[[#This Row],[Namn]],'ALLA ÅR'!E:E)</f>
        <v>0</v>
      </c>
      <c r="E105" s="12">
        <f>SUMIF('ALLA ÅR'!B:B,Tabell46[[#This Row],[Namn]],'ALLA ÅR'!F:F)</f>
        <v>0</v>
      </c>
      <c r="F105" s="12">
        <f>SUMIF('ALLA ÅR'!B:B,Tabell46[[#This Row],[Namn]],'ALLA ÅR'!G:G)</f>
        <v>1</v>
      </c>
      <c r="G105" s="12">
        <f>VLOOKUP(Tabell46[[#This Row],[Namn]],'ALLA ÅR'!B:J,9,0)</f>
        <v>2015</v>
      </c>
      <c r="H105" s="12">
        <f>COUNTIF('ALLA ÅR'!B:B,Tabell46[[#This Row],[Namn]])</f>
        <v>1</v>
      </c>
      <c r="I105" s="12">
        <f>VLOOKUP(Tabell46[[#This Row],[Namn]],'ALLA ÅR'!B:L,11,0)</f>
        <v>14</v>
      </c>
      <c r="J105" s="12">
        <f>RANK(Tabell46[[#This Row],[MÅL]],F:F)</f>
        <v>67</v>
      </c>
      <c r="K105" s="12">
        <f>RANK(Tabell46[[#This Row],[VAR]],D:D)</f>
        <v>44</v>
      </c>
      <c r="L105" s="12">
        <f>RANK(Tabell46[[#This Row],[MAT]],C:C)</f>
        <v>103</v>
      </c>
      <c r="M105" s="14">
        <f>Tabell46[[#This Row],[MAT]]/Tabell46[[#This Row],[ANTAL MATCHER]]</f>
        <v>8.6956521739130432E-2</v>
      </c>
      <c r="N105" s="12">
        <f>SUMIF('ALLA ÅR'!B:B,Tabell46[[#This Row],[Namn]],'ALLA ÅR'!H:H)</f>
        <v>23</v>
      </c>
      <c r="O105" s="12">
        <f>RANK(Tabell46[[#This Row],[ÅLDER]],I:I)</f>
        <v>103</v>
      </c>
      <c r="P105" s="21">
        <f>Tabell46[[#This Row],[MÅL]]/Tabell46[[#This Row],[MAT]]</f>
        <v>0.5</v>
      </c>
      <c r="Q105" s="12">
        <f>_xlfn.XLOOKUP(Tabell46[[#This Row],[Namn]],V:V,W:W)</f>
        <v>0</v>
      </c>
      <c r="R105" s="12">
        <f>_xlfn.XLOOKUP(Tabell46[[#This Row],[Namn]],V:V,X:X)</f>
        <v>0</v>
      </c>
      <c r="S105" s="12">
        <f>_xlfn.XLOOKUP(Tabell46[[#This Row],[Namn]],V:V,Y:Y)</f>
        <v>0</v>
      </c>
      <c r="T105" s="12">
        <f>_xlfn.XLOOKUP(Tabell46[[#This Row],[Namn]],V:V,Z:Z)</f>
        <v>1</v>
      </c>
      <c r="V105" s="3" t="s">
        <v>79</v>
      </c>
      <c r="W105" s="152">
        <v>0</v>
      </c>
      <c r="X105" s="152">
        <v>1</v>
      </c>
      <c r="Y105" s="152"/>
      <c r="Z105" s="152"/>
      <c r="AA105" s="152">
        <v>1</v>
      </c>
      <c r="AB105"/>
      <c r="AC105" s="3" t="s">
        <v>79</v>
      </c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>
        <v>0</v>
      </c>
      <c r="AO105" s="152">
        <v>0</v>
      </c>
      <c r="AP105" s="152">
        <v>1</v>
      </c>
      <c r="AQ105" s="152">
        <v>0</v>
      </c>
      <c r="AR105" s="152"/>
      <c r="AS105" s="152"/>
      <c r="AT105" s="152"/>
      <c r="AU105" s="151">
        <v>1</v>
      </c>
      <c r="AW105" s="3" t="s">
        <v>79</v>
      </c>
      <c r="AX105" s="151"/>
      <c r="AY105" s="151"/>
      <c r="AZ105" s="151"/>
      <c r="BA105" s="151">
        <v>0</v>
      </c>
      <c r="BB105" s="151">
        <v>0</v>
      </c>
      <c r="BC105" s="151">
        <v>1</v>
      </c>
      <c r="BD105" s="151">
        <v>0</v>
      </c>
      <c r="BE105" s="151"/>
      <c r="BF105" s="151"/>
      <c r="BG105" s="151"/>
      <c r="BH105" s="151"/>
      <c r="BI105" s="151"/>
      <c r="BJ105" s="151"/>
      <c r="BK105" s="151"/>
      <c r="BL105" s="151"/>
      <c r="BM105" s="151"/>
      <c r="BN105" s="151"/>
      <c r="BO105" s="151"/>
      <c r="BP105" s="151"/>
      <c r="BQ105" s="151"/>
      <c r="BR105" s="151"/>
      <c r="BS105" s="151"/>
      <c r="BT105" s="151"/>
      <c r="BU105" s="151"/>
      <c r="BV105" s="151"/>
      <c r="BW105" s="151"/>
      <c r="BX105" s="151"/>
      <c r="BY105" s="151"/>
      <c r="BZ105" s="151"/>
      <c r="CA105" s="151"/>
      <c r="CB105" s="151"/>
      <c r="CC105" s="151">
        <v>1</v>
      </c>
    </row>
    <row r="106" spans="1:81" x14ac:dyDescent="0.25">
      <c r="A106" s="13">
        <f>Tabell46[[#This Row],[RANK MÅL]]</f>
        <v>67</v>
      </c>
      <c r="B106" s="11" t="s">
        <v>158</v>
      </c>
      <c r="C106" s="12">
        <f>SUMIF('ALLA ÅR'!B:B,Tabell46[[#This Row],[Namn]],'ALLA ÅR'!C:C)</f>
        <v>6</v>
      </c>
      <c r="D106" s="12">
        <f>SUMIF('ALLA ÅR'!B:B,Tabell46[[#This Row],[Namn]],'ALLA ÅR'!E:E)</f>
        <v>0</v>
      </c>
      <c r="E106" s="12">
        <f>SUMIF('ALLA ÅR'!B:B,Tabell46[[#This Row],[Namn]],'ALLA ÅR'!F:F)</f>
        <v>0</v>
      </c>
      <c r="F106" s="12">
        <f>SUMIF('ALLA ÅR'!B:B,Tabell46[[#This Row],[Namn]],'ALLA ÅR'!G:G)</f>
        <v>1</v>
      </c>
      <c r="G106" s="12">
        <f>VLOOKUP(Tabell46[[#This Row],[Namn]],'ALLA ÅR'!B:J,9,0)</f>
        <v>2015</v>
      </c>
      <c r="H106" s="12">
        <f>COUNTIF('ALLA ÅR'!B:B,Tabell46[[#This Row],[Namn]])</f>
        <v>2</v>
      </c>
      <c r="I106" s="12">
        <f>VLOOKUP(Tabell46[[#This Row],[Namn]],'ALLA ÅR'!B:L,11,0)</f>
        <v>17</v>
      </c>
      <c r="J106" s="12">
        <f>RANK(Tabell46[[#This Row],[MÅL]],F:F)</f>
        <v>67</v>
      </c>
      <c r="K106" s="12">
        <f>RANK(Tabell46[[#This Row],[VAR]],D:D)</f>
        <v>44</v>
      </c>
      <c r="L106" s="12">
        <f>RANK(Tabell46[[#This Row],[MAT]],C:C)</f>
        <v>91</v>
      </c>
      <c r="M106" s="14">
        <f>Tabell46[[#This Row],[MAT]]/Tabell46[[#This Row],[ANTAL MATCHER]]</f>
        <v>0.15384615384615385</v>
      </c>
      <c r="N106" s="12">
        <f>SUMIF('ALLA ÅR'!B:B,Tabell46[[#This Row],[Namn]],'ALLA ÅR'!H:H)</f>
        <v>39</v>
      </c>
      <c r="O106" s="12">
        <f>RANK(Tabell46[[#This Row],[ÅLDER]],I:I)</f>
        <v>81</v>
      </c>
      <c r="P106" s="21">
        <f>Tabell46[[#This Row],[MÅL]]/Tabell46[[#This Row],[MAT]]</f>
        <v>0.16666666666666666</v>
      </c>
      <c r="Q106" s="12">
        <f>_xlfn.XLOOKUP(Tabell46[[#This Row],[Namn]],V:V,W:W)</f>
        <v>0</v>
      </c>
      <c r="R106" s="12">
        <f>_xlfn.XLOOKUP(Tabell46[[#This Row],[Namn]],V:V,X:X)</f>
        <v>0</v>
      </c>
      <c r="S106" s="12">
        <f>_xlfn.XLOOKUP(Tabell46[[#This Row],[Namn]],V:V,Y:Y)</f>
        <v>0</v>
      </c>
      <c r="T106" s="12">
        <f>_xlfn.XLOOKUP(Tabell46[[#This Row],[Namn]],V:V,Z:Z)</f>
        <v>1</v>
      </c>
      <c r="V106" s="3" t="s">
        <v>204</v>
      </c>
      <c r="W106" s="152"/>
      <c r="X106" s="152"/>
      <c r="Y106" s="152">
        <v>1</v>
      </c>
      <c r="Z106" s="152"/>
      <c r="AA106" s="152">
        <v>1</v>
      </c>
      <c r="AB106"/>
      <c r="AC106" s="3" t="s">
        <v>204</v>
      </c>
      <c r="AD106" s="152">
        <v>1</v>
      </c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1">
        <v>1</v>
      </c>
      <c r="AW106" s="3" t="s">
        <v>204</v>
      </c>
      <c r="AX106" s="151"/>
      <c r="AY106" s="151"/>
      <c r="AZ106" s="151"/>
      <c r="BA106" s="151"/>
      <c r="BB106" s="151"/>
      <c r="BC106" s="151">
        <v>1</v>
      </c>
      <c r="BD106" s="151"/>
      <c r="BE106" s="151"/>
      <c r="BF106" s="151"/>
      <c r="BG106" s="151"/>
      <c r="BH106" s="151"/>
      <c r="BI106" s="151"/>
      <c r="BJ106" s="151"/>
      <c r="BK106" s="151"/>
      <c r="BL106" s="151"/>
      <c r="BM106" s="151"/>
      <c r="BN106" s="151"/>
      <c r="BO106" s="151"/>
      <c r="BP106" s="151"/>
      <c r="BQ106" s="151"/>
      <c r="BR106" s="151"/>
      <c r="BS106" s="151"/>
      <c r="BT106" s="151"/>
      <c r="BU106" s="151"/>
      <c r="BV106" s="151"/>
      <c r="BW106" s="151"/>
      <c r="BX106" s="151"/>
      <c r="BY106" s="151"/>
      <c r="BZ106" s="151"/>
      <c r="CA106" s="151"/>
      <c r="CB106" s="151"/>
      <c r="CC106" s="151">
        <v>1</v>
      </c>
    </row>
    <row r="107" spans="1:81" x14ac:dyDescent="0.25">
      <c r="A107" s="15">
        <f>Tabell46[[#This Row],[RANK MÅL]]</f>
        <v>67</v>
      </c>
      <c r="B107" s="11" t="s">
        <v>170</v>
      </c>
      <c r="C107" s="12">
        <f>SUMIF('ALLA ÅR'!B:B,Tabell46[[#This Row],[Namn]],'ALLA ÅR'!C:C)</f>
        <v>35</v>
      </c>
      <c r="D107" s="12">
        <f>SUMIF('ALLA ÅR'!B:B,Tabell46[[#This Row],[Namn]],'ALLA ÅR'!E:E)</f>
        <v>0</v>
      </c>
      <c r="E107" s="12">
        <f>SUMIF('ALLA ÅR'!B:B,Tabell46[[#This Row],[Namn]],'ALLA ÅR'!F:F)</f>
        <v>0</v>
      </c>
      <c r="F107" s="12">
        <f>SUMIF('ALLA ÅR'!B:B,Tabell46[[#This Row],[Namn]],'ALLA ÅR'!G:G)</f>
        <v>1</v>
      </c>
      <c r="G107" s="12">
        <f>VLOOKUP(Tabell46[[#This Row],[Namn]],'ALLA ÅR'!B:J,9,0)</f>
        <v>2014</v>
      </c>
      <c r="H107" s="12">
        <f>COUNTIF('ALLA ÅR'!B:B,Tabell46[[#This Row],[Namn]])</f>
        <v>4</v>
      </c>
      <c r="I107" s="12">
        <f>VLOOKUP(Tabell46[[#This Row],[Namn]],'ALLA ÅR'!B:L,11,0)</f>
        <v>24</v>
      </c>
      <c r="J107" s="12">
        <f>RANK(Tabell46[[#This Row],[MÅL]],F:F)</f>
        <v>67</v>
      </c>
      <c r="K107" s="12">
        <f>RANK(Tabell46[[#This Row],[VAR]],D:D)</f>
        <v>44</v>
      </c>
      <c r="L107" s="12">
        <f>RANK(Tabell46[[#This Row],[MAT]],C:C)</f>
        <v>36</v>
      </c>
      <c r="M107" s="14">
        <f>Tabell46[[#This Row],[MAT]]/Tabell46[[#This Row],[ANTAL MATCHER]]</f>
        <v>0.4861111111111111</v>
      </c>
      <c r="N107" s="12">
        <f>SUMIF('ALLA ÅR'!B:B,Tabell46[[#This Row],[Namn]],'ALLA ÅR'!H:H)</f>
        <v>72</v>
      </c>
      <c r="O107" s="12">
        <f>RANK(Tabell46[[#This Row],[ÅLDER]],I:I)</f>
        <v>24</v>
      </c>
      <c r="P107" s="21">
        <f>Tabell46[[#This Row],[MÅL]]/Tabell46[[#This Row],[MAT]]</f>
        <v>2.8571428571428571E-2</v>
      </c>
      <c r="Q107" s="12">
        <f>_xlfn.XLOOKUP(Tabell46[[#This Row],[Namn]],V:V,W:W)</f>
        <v>0</v>
      </c>
      <c r="R107" s="12">
        <f>_xlfn.XLOOKUP(Tabell46[[#This Row],[Namn]],V:V,X:X)</f>
        <v>0</v>
      </c>
      <c r="S107" s="12">
        <f>_xlfn.XLOOKUP(Tabell46[[#This Row],[Namn]],V:V,Y:Y)</f>
        <v>0</v>
      </c>
      <c r="T107" s="12">
        <f>_xlfn.XLOOKUP(Tabell46[[#This Row],[Namn]],V:V,Z:Z)</f>
        <v>1</v>
      </c>
      <c r="V107" s="3" t="s">
        <v>129</v>
      </c>
      <c r="W107" s="152"/>
      <c r="X107" s="152"/>
      <c r="Y107" s="152">
        <v>0</v>
      </c>
      <c r="Z107" s="152">
        <v>1</v>
      </c>
      <c r="AA107" s="152">
        <v>1</v>
      </c>
      <c r="AB107"/>
      <c r="AC107" s="3" t="s">
        <v>129</v>
      </c>
      <c r="AD107" s="152"/>
      <c r="AE107" s="152"/>
      <c r="AF107" s="152"/>
      <c r="AG107" s="152"/>
      <c r="AH107" s="152"/>
      <c r="AI107" s="152"/>
      <c r="AJ107" s="152">
        <v>1</v>
      </c>
      <c r="AK107" s="152">
        <v>0</v>
      </c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1">
        <v>1</v>
      </c>
      <c r="AW107" s="3" t="s">
        <v>129</v>
      </c>
      <c r="AX107" s="151"/>
      <c r="AY107" s="151"/>
      <c r="AZ107" s="151"/>
      <c r="BA107" s="151"/>
      <c r="BB107" s="151">
        <v>1</v>
      </c>
      <c r="BC107" s="151">
        <v>0</v>
      </c>
      <c r="BD107" s="151"/>
      <c r="BE107" s="151"/>
      <c r="BF107" s="151"/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/>
      <c r="BV107" s="151"/>
      <c r="BW107" s="151"/>
      <c r="BX107" s="151"/>
      <c r="BY107" s="151"/>
      <c r="BZ107" s="151"/>
      <c r="CA107" s="151"/>
      <c r="CB107" s="151"/>
      <c r="CC107" s="151">
        <v>1</v>
      </c>
    </row>
    <row r="108" spans="1:81" x14ac:dyDescent="0.25">
      <c r="A108" s="13">
        <f>Tabell46[[#This Row],[RANK MÅL]]</f>
        <v>67</v>
      </c>
      <c r="B108" s="11" t="s">
        <v>173</v>
      </c>
      <c r="C108" s="12">
        <f>SUMIF('ALLA ÅR'!B:B,Tabell46[[#This Row],[Namn]],'ALLA ÅR'!C:C)</f>
        <v>10</v>
      </c>
      <c r="D108" s="12">
        <f>SUMIF('ALLA ÅR'!B:B,Tabell46[[#This Row],[Namn]],'ALLA ÅR'!E:E)</f>
        <v>0</v>
      </c>
      <c r="E108" s="12">
        <f>SUMIF('ALLA ÅR'!B:B,Tabell46[[#This Row],[Namn]],'ALLA ÅR'!F:F)</f>
        <v>0</v>
      </c>
      <c r="F108" s="12">
        <f>SUMIF('ALLA ÅR'!B:B,Tabell46[[#This Row],[Namn]],'ALLA ÅR'!G:G)</f>
        <v>1</v>
      </c>
      <c r="G108" s="12">
        <f>VLOOKUP(Tabell46[[#This Row],[Namn]],'ALLA ÅR'!B:J,9,0)</f>
        <v>2014</v>
      </c>
      <c r="H108" s="12">
        <f>COUNTIF('ALLA ÅR'!B:B,Tabell46[[#This Row],[Namn]])</f>
        <v>2</v>
      </c>
      <c r="I108" s="12">
        <f>VLOOKUP(Tabell46[[#This Row],[Namn]],'ALLA ÅR'!B:L,11,0)</f>
        <v>15</v>
      </c>
      <c r="J108" s="12">
        <f>RANK(Tabell46[[#This Row],[MÅL]],F:F)</f>
        <v>67</v>
      </c>
      <c r="K108" s="12">
        <f>RANK(Tabell46[[#This Row],[VAR]],D:D)</f>
        <v>44</v>
      </c>
      <c r="L108" s="12">
        <f>RANK(Tabell46[[#This Row],[MAT]],C:C)</f>
        <v>79</v>
      </c>
      <c r="M108" s="14">
        <f>Tabell46[[#This Row],[MAT]]/Tabell46[[#This Row],[ANTAL MATCHER]]</f>
        <v>0.33333333333333331</v>
      </c>
      <c r="N108" s="12">
        <f>SUMIF('ALLA ÅR'!B:B,Tabell46[[#This Row],[Namn]],'ALLA ÅR'!H:H)</f>
        <v>30</v>
      </c>
      <c r="O108" s="12">
        <f>RANK(Tabell46[[#This Row],[ÅLDER]],I:I)</f>
        <v>97</v>
      </c>
      <c r="P108" s="21">
        <f>Tabell46[[#This Row],[MÅL]]/Tabell46[[#This Row],[MAT]]</f>
        <v>0.1</v>
      </c>
      <c r="Q108" s="12">
        <f>_xlfn.XLOOKUP(Tabell46[[#This Row],[Namn]],V:V,W:W)</f>
        <v>0</v>
      </c>
      <c r="R108" s="12">
        <f>_xlfn.XLOOKUP(Tabell46[[#This Row],[Namn]],V:V,X:X)</f>
        <v>0</v>
      </c>
      <c r="S108" s="12">
        <f>_xlfn.XLOOKUP(Tabell46[[#This Row],[Namn]],V:V,Y:Y)</f>
        <v>0</v>
      </c>
      <c r="T108" s="12">
        <f>_xlfn.XLOOKUP(Tabell46[[#This Row],[Namn]],V:V,Z:Z)</f>
        <v>1</v>
      </c>
      <c r="V108" s="3" t="s">
        <v>67</v>
      </c>
      <c r="W108" s="152"/>
      <c r="X108" s="152">
        <v>1</v>
      </c>
      <c r="Y108" s="152"/>
      <c r="Z108" s="152"/>
      <c r="AA108" s="152">
        <v>1</v>
      </c>
      <c r="AB108"/>
      <c r="AC108" s="3" t="s">
        <v>67</v>
      </c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>
        <v>1</v>
      </c>
      <c r="AS108" s="152"/>
      <c r="AT108" s="152"/>
      <c r="AU108" s="151">
        <v>1</v>
      </c>
      <c r="AW108" s="3" t="s">
        <v>67</v>
      </c>
      <c r="AX108" s="151"/>
      <c r="AY108" s="151"/>
      <c r="AZ108" s="151"/>
      <c r="BA108" s="151"/>
      <c r="BB108" s="151">
        <v>1</v>
      </c>
      <c r="BC108" s="151"/>
      <c r="BD108" s="151"/>
      <c r="BE108" s="151"/>
      <c r="BF108" s="151"/>
      <c r="BG108" s="151"/>
      <c r="BH108" s="151"/>
      <c r="BI108" s="151"/>
      <c r="BJ108" s="151"/>
      <c r="BK108" s="151"/>
      <c r="BL108" s="151"/>
      <c r="BM108" s="151"/>
      <c r="BN108" s="151"/>
      <c r="BO108" s="151"/>
      <c r="BP108" s="151"/>
      <c r="BQ108" s="151"/>
      <c r="BR108" s="151"/>
      <c r="BS108" s="151"/>
      <c r="BT108" s="151"/>
      <c r="BU108" s="151"/>
      <c r="BV108" s="151"/>
      <c r="BW108" s="151"/>
      <c r="BX108" s="151"/>
      <c r="BY108" s="151"/>
      <c r="BZ108" s="151"/>
      <c r="CA108" s="151"/>
      <c r="CB108" s="151"/>
      <c r="CC108" s="151">
        <v>1</v>
      </c>
    </row>
    <row r="109" spans="1:81" x14ac:dyDescent="0.25">
      <c r="A109" s="15">
        <f>Tabell46[[#This Row],[RANK MÅL]]</f>
        <v>67</v>
      </c>
      <c r="B109" s="11" t="s">
        <v>177</v>
      </c>
      <c r="C109" s="12">
        <f>SUMIF('ALLA ÅR'!B:B,Tabell46[[#This Row],[Namn]],'ALLA ÅR'!C:C)</f>
        <v>22</v>
      </c>
      <c r="D109" s="12">
        <f>SUMIF('ALLA ÅR'!B:B,Tabell46[[#This Row],[Namn]],'ALLA ÅR'!E:E)</f>
        <v>0</v>
      </c>
      <c r="E109" s="12">
        <f>SUMIF('ALLA ÅR'!B:B,Tabell46[[#This Row],[Namn]],'ALLA ÅR'!F:F)</f>
        <v>0</v>
      </c>
      <c r="F109" s="12">
        <f>SUMIF('ALLA ÅR'!B:B,Tabell46[[#This Row],[Namn]],'ALLA ÅR'!G:G)</f>
        <v>1</v>
      </c>
      <c r="G109" s="12">
        <f>VLOOKUP(Tabell46[[#This Row],[Namn]],'ALLA ÅR'!B:J,9,0)</f>
        <v>2013</v>
      </c>
      <c r="H109" s="12">
        <f>COUNTIF('ALLA ÅR'!B:B,Tabell46[[#This Row],[Namn]])</f>
        <v>2</v>
      </c>
      <c r="I109" s="12">
        <f>VLOOKUP(Tabell46[[#This Row],[Namn]],'ALLA ÅR'!B:L,11,0)</f>
        <v>17</v>
      </c>
      <c r="J109" s="12">
        <f>RANK(Tabell46[[#This Row],[MÅL]],F:F)</f>
        <v>67</v>
      </c>
      <c r="K109" s="12">
        <f>RANK(Tabell46[[#This Row],[VAR]],D:D)</f>
        <v>44</v>
      </c>
      <c r="L109" s="12">
        <f>RANK(Tabell46[[#This Row],[MAT]],C:C)</f>
        <v>54</v>
      </c>
      <c r="M109" s="14">
        <f>Tabell46[[#This Row],[MAT]]/Tabell46[[#This Row],[ANTAL MATCHER]]</f>
        <v>0.6875</v>
      </c>
      <c r="N109" s="12">
        <f>SUMIF('ALLA ÅR'!B:B,Tabell46[[#This Row],[Namn]],'ALLA ÅR'!H:H)</f>
        <v>32</v>
      </c>
      <c r="O109" s="12">
        <f>RANK(Tabell46[[#This Row],[ÅLDER]],I:I)</f>
        <v>81</v>
      </c>
      <c r="P109" s="21">
        <f>Tabell46[[#This Row],[MÅL]]/Tabell46[[#This Row],[MAT]]</f>
        <v>4.5454545454545456E-2</v>
      </c>
      <c r="Q109" s="12">
        <f>_xlfn.XLOOKUP(Tabell46[[#This Row],[Namn]],V:V,W:W)</f>
        <v>0</v>
      </c>
      <c r="R109" s="12">
        <f>_xlfn.XLOOKUP(Tabell46[[#This Row],[Namn]],V:V,X:X)</f>
        <v>0</v>
      </c>
      <c r="S109" s="12">
        <f>_xlfn.XLOOKUP(Tabell46[[#This Row],[Namn]],V:V,Y:Y)</f>
        <v>0</v>
      </c>
      <c r="T109" s="12">
        <f>_xlfn.XLOOKUP(Tabell46[[#This Row],[Namn]],V:V,Z:Z)</f>
        <v>1</v>
      </c>
      <c r="V109" s="3" t="s">
        <v>117</v>
      </c>
      <c r="W109" s="152"/>
      <c r="X109" s="152"/>
      <c r="Y109" s="152">
        <v>1</v>
      </c>
      <c r="Z109" s="152"/>
      <c r="AA109" s="152">
        <v>1</v>
      </c>
      <c r="AB109"/>
      <c r="AC109" s="3" t="s">
        <v>27</v>
      </c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>
        <v>1</v>
      </c>
      <c r="AU109" s="151">
        <v>1</v>
      </c>
      <c r="AW109" s="3" t="s">
        <v>27</v>
      </c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  <c r="BI109" s="151">
        <v>1</v>
      </c>
      <c r="BJ109" s="151"/>
      <c r="BK109" s="151"/>
      <c r="BL109" s="151"/>
      <c r="BM109" s="151"/>
      <c r="BN109" s="151"/>
      <c r="BO109" s="151"/>
      <c r="BP109" s="151"/>
      <c r="BQ109" s="151"/>
      <c r="BR109" s="151"/>
      <c r="BS109" s="151"/>
      <c r="BT109" s="151"/>
      <c r="BU109" s="151"/>
      <c r="BV109" s="151"/>
      <c r="BW109" s="151"/>
      <c r="BX109" s="151"/>
      <c r="BY109" s="151"/>
      <c r="BZ109" s="151"/>
      <c r="CA109" s="151"/>
      <c r="CB109" s="151"/>
      <c r="CC109" s="151">
        <v>1</v>
      </c>
    </row>
    <row r="110" spans="1:81" x14ac:dyDescent="0.25">
      <c r="A110" s="13">
        <f>Tabell46[[#This Row],[RANK MÅL]]</f>
        <v>67</v>
      </c>
      <c r="B110" s="11" t="s">
        <v>181</v>
      </c>
      <c r="C110" s="12">
        <f>SUMIF('ALLA ÅR'!B:B,Tabell46[[#This Row],[Namn]],'ALLA ÅR'!C:C)</f>
        <v>9</v>
      </c>
      <c r="D110" s="12">
        <f>SUMIF('ALLA ÅR'!B:B,Tabell46[[#This Row],[Namn]],'ALLA ÅR'!E:E)</f>
        <v>0</v>
      </c>
      <c r="E110" s="12">
        <f>SUMIF('ALLA ÅR'!B:B,Tabell46[[#This Row],[Namn]],'ALLA ÅR'!F:F)</f>
        <v>0</v>
      </c>
      <c r="F110" s="12">
        <f>SUMIF('ALLA ÅR'!B:B,Tabell46[[#This Row],[Namn]],'ALLA ÅR'!G:G)</f>
        <v>1</v>
      </c>
      <c r="G110" s="12">
        <f>VLOOKUP(Tabell46[[#This Row],[Namn]],'ALLA ÅR'!B:J,9,0)</f>
        <v>2012</v>
      </c>
      <c r="H110" s="12">
        <f>COUNTIF('ALLA ÅR'!B:B,Tabell46[[#This Row],[Namn]])</f>
        <v>2</v>
      </c>
      <c r="I110" s="12">
        <f>VLOOKUP(Tabell46[[#This Row],[Namn]],'ALLA ÅR'!B:L,11,0)</f>
        <v>18</v>
      </c>
      <c r="J110" s="12">
        <f>RANK(Tabell46[[#This Row],[MÅL]],F:F)</f>
        <v>67</v>
      </c>
      <c r="K110" s="12">
        <f>RANK(Tabell46[[#This Row],[VAR]],D:D)</f>
        <v>44</v>
      </c>
      <c r="L110" s="12">
        <f>RANK(Tabell46[[#This Row],[MAT]],C:C)</f>
        <v>81</v>
      </c>
      <c r="M110" s="14">
        <f>Tabell46[[#This Row],[MAT]]/Tabell46[[#This Row],[ANTAL MATCHER]]</f>
        <v>0.21428571428571427</v>
      </c>
      <c r="N110" s="12">
        <f>SUMIF('ALLA ÅR'!B:B,Tabell46[[#This Row],[Namn]],'ALLA ÅR'!H:H)</f>
        <v>42</v>
      </c>
      <c r="O110" s="12">
        <f>RANK(Tabell46[[#This Row],[ÅLDER]],I:I)</f>
        <v>72</v>
      </c>
      <c r="P110" s="21">
        <f>Tabell46[[#This Row],[MÅL]]/Tabell46[[#This Row],[MAT]]</f>
        <v>0.1111111111111111</v>
      </c>
      <c r="Q110" s="12">
        <f>_xlfn.XLOOKUP(Tabell46[[#This Row],[Namn]],V:V,W:W)</f>
        <v>0</v>
      </c>
      <c r="R110" s="12">
        <f>_xlfn.XLOOKUP(Tabell46[[#This Row],[Namn]],V:V,X:X)</f>
        <v>0</v>
      </c>
      <c r="S110" s="12">
        <f>_xlfn.XLOOKUP(Tabell46[[#This Row],[Namn]],V:V,Y:Y)</f>
        <v>0</v>
      </c>
      <c r="T110" s="12">
        <f>_xlfn.XLOOKUP(Tabell46[[#This Row],[Namn]],V:V,Z:Z)</f>
        <v>1</v>
      </c>
      <c r="V110" s="3" t="s">
        <v>170</v>
      </c>
      <c r="W110" s="152"/>
      <c r="X110" s="152"/>
      <c r="Y110" s="152">
        <v>0</v>
      </c>
      <c r="Z110" s="152">
        <v>1</v>
      </c>
      <c r="AA110" s="152">
        <v>1</v>
      </c>
      <c r="AB110"/>
      <c r="AC110" s="3" t="s">
        <v>170</v>
      </c>
      <c r="AD110" s="152"/>
      <c r="AE110" s="152">
        <v>0</v>
      </c>
      <c r="AF110" s="152">
        <v>0</v>
      </c>
      <c r="AG110" s="152">
        <v>0</v>
      </c>
      <c r="AH110" s="152">
        <v>1</v>
      </c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1">
        <v>1</v>
      </c>
      <c r="AW110" s="3" t="s">
        <v>170</v>
      </c>
      <c r="AX110" s="151"/>
      <c r="AY110" s="151"/>
      <c r="AZ110" s="151"/>
      <c r="BA110" s="151"/>
      <c r="BB110" s="151"/>
      <c r="BC110" s="151"/>
      <c r="BD110" s="151"/>
      <c r="BE110" s="151"/>
      <c r="BF110" s="151">
        <v>0</v>
      </c>
      <c r="BG110" s="151">
        <v>0</v>
      </c>
      <c r="BH110" s="151">
        <v>0</v>
      </c>
      <c r="BI110" s="151">
        <v>1</v>
      </c>
      <c r="BJ110" s="151"/>
      <c r="BK110" s="151"/>
      <c r="BL110" s="151"/>
      <c r="BM110" s="151"/>
      <c r="BN110" s="151"/>
      <c r="BO110" s="151"/>
      <c r="BP110" s="151"/>
      <c r="BQ110" s="151"/>
      <c r="BR110" s="151"/>
      <c r="BS110" s="151"/>
      <c r="BT110" s="151"/>
      <c r="BU110" s="151"/>
      <c r="BV110" s="151"/>
      <c r="BW110" s="151"/>
      <c r="BX110" s="151"/>
      <c r="BY110" s="151"/>
      <c r="BZ110" s="151"/>
      <c r="CA110" s="151"/>
      <c r="CB110" s="151"/>
      <c r="CC110" s="151">
        <v>1</v>
      </c>
    </row>
    <row r="111" spans="1:81" x14ac:dyDescent="0.25">
      <c r="A111" s="15">
        <f>Tabell46[[#This Row],[RANK MÅL]]</f>
        <v>67</v>
      </c>
      <c r="B111" s="11" t="s">
        <v>186</v>
      </c>
      <c r="C111" s="12">
        <f>SUMIF('ALLA ÅR'!B:B,Tabell46[[#This Row],[Namn]],'ALLA ÅR'!C:C)</f>
        <v>23</v>
      </c>
      <c r="D111" s="12">
        <f>SUMIF('ALLA ÅR'!B:B,Tabell46[[#This Row],[Namn]],'ALLA ÅR'!E:E)</f>
        <v>0</v>
      </c>
      <c r="E111" s="12">
        <f>SUMIF('ALLA ÅR'!B:B,Tabell46[[#This Row],[Namn]],'ALLA ÅR'!F:F)</f>
        <v>0</v>
      </c>
      <c r="F111" s="12">
        <f>SUMIF('ALLA ÅR'!B:B,Tabell46[[#This Row],[Namn]],'ALLA ÅR'!G:G)</f>
        <v>1</v>
      </c>
      <c r="G111" s="12">
        <f>VLOOKUP(Tabell46[[#This Row],[Namn]],'ALLA ÅR'!B:J,9,0)</f>
        <v>2011</v>
      </c>
      <c r="H111" s="12">
        <f>COUNTIF('ALLA ÅR'!B:B,Tabell46[[#This Row],[Namn]])</f>
        <v>1</v>
      </c>
      <c r="I111" s="12">
        <f>VLOOKUP(Tabell46[[#This Row],[Namn]],'ALLA ÅR'!B:L,11,0)</f>
        <v>27</v>
      </c>
      <c r="J111" s="12">
        <f>RANK(Tabell46[[#This Row],[MÅL]],F:F)</f>
        <v>67</v>
      </c>
      <c r="K111" s="12">
        <f>RANK(Tabell46[[#This Row],[VAR]],D:D)</f>
        <v>44</v>
      </c>
      <c r="L111" s="12">
        <f>RANK(Tabell46[[#This Row],[MAT]],C:C)</f>
        <v>49</v>
      </c>
      <c r="M111" s="14">
        <f>Tabell46[[#This Row],[MAT]]/Tabell46[[#This Row],[ANTAL MATCHER]]</f>
        <v>0.95833333333333337</v>
      </c>
      <c r="N111" s="12">
        <f>SUMIF('ALLA ÅR'!B:B,Tabell46[[#This Row],[Namn]],'ALLA ÅR'!H:H)</f>
        <v>24</v>
      </c>
      <c r="O111" s="12">
        <f>RANK(Tabell46[[#This Row],[ÅLDER]],I:I)</f>
        <v>12</v>
      </c>
      <c r="P111" s="21">
        <f>Tabell46[[#This Row],[MÅL]]/Tabell46[[#This Row],[MAT]]</f>
        <v>4.3478260869565216E-2</v>
      </c>
      <c r="Q111" s="12">
        <f>_xlfn.XLOOKUP(Tabell46[[#This Row],[Namn]],V:V,W:W)</f>
        <v>0</v>
      </c>
      <c r="R111" s="12">
        <f>_xlfn.XLOOKUP(Tabell46[[#This Row],[Namn]],V:V,X:X)</f>
        <v>0</v>
      </c>
      <c r="S111" s="12">
        <f>_xlfn.XLOOKUP(Tabell46[[#This Row],[Namn]],V:V,Y:Y)</f>
        <v>1</v>
      </c>
      <c r="T111" s="12">
        <f>_xlfn.XLOOKUP(Tabell46[[#This Row],[Namn]],V:V,Z:Z)</f>
        <v>0</v>
      </c>
      <c r="V111" s="3" t="s">
        <v>78</v>
      </c>
      <c r="W111" s="152"/>
      <c r="X111" s="152">
        <v>1</v>
      </c>
      <c r="Y111" s="152"/>
      <c r="Z111" s="152"/>
      <c r="AA111" s="152">
        <v>1</v>
      </c>
      <c r="AB111"/>
      <c r="AC111" s="3" t="s">
        <v>117</v>
      </c>
      <c r="AD111" s="152"/>
      <c r="AE111" s="152"/>
      <c r="AF111" s="152"/>
      <c r="AG111" s="152"/>
      <c r="AH111" s="152"/>
      <c r="AI111" s="152"/>
      <c r="AJ111" s="152"/>
      <c r="AK111" s="152">
        <v>1</v>
      </c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1">
        <v>1</v>
      </c>
      <c r="AW111" s="3" t="s">
        <v>117</v>
      </c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  <c r="BI111" s="151"/>
      <c r="BJ111" s="151"/>
      <c r="BK111" s="151"/>
      <c r="BL111" s="151">
        <v>1</v>
      </c>
      <c r="BM111" s="151"/>
      <c r="BN111" s="151"/>
      <c r="BO111" s="151"/>
      <c r="BP111" s="151"/>
      <c r="BQ111" s="151"/>
      <c r="BR111" s="151"/>
      <c r="BS111" s="151"/>
      <c r="BT111" s="151"/>
      <c r="BU111" s="151"/>
      <c r="BV111" s="151"/>
      <c r="BW111" s="151"/>
      <c r="BX111" s="151"/>
      <c r="BY111" s="151"/>
      <c r="BZ111" s="151"/>
      <c r="CA111" s="151"/>
      <c r="CB111" s="151"/>
      <c r="CC111" s="151">
        <v>1</v>
      </c>
    </row>
    <row r="112" spans="1:81" x14ac:dyDescent="0.25">
      <c r="A112" s="13">
        <f>Tabell46[[#This Row],[RANK MÅL]]</f>
        <v>67</v>
      </c>
      <c r="B112" s="11" t="s">
        <v>187</v>
      </c>
      <c r="C112" s="12">
        <f>SUMIF('ALLA ÅR'!B:B,Tabell46[[#This Row],[Namn]],'ALLA ÅR'!C:C)</f>
        <v>23</v>
      </c>
      <c r="D112" s="12">
        <f>SUMIF('ALLA ÅR'!B:B,Tabell46[[#This Row],[Namn]],'ALLA ÅR'!E:E)</f>
        <v>0</v>
      </c>
      <c r="E112" s="12">
        <f>SUMIF('ALLA ÅR'!B:B,Tabell46[[#This Row],[Namn]],'ALLA ÅR'!F:F)</f>
        <v>0</v>
      </c>
      <c r="F112" s="12">
        <f>SUMIF('ALLA ÅR'!B:B,Tabell46[[#This Row],[Namn]],'ALLA ÅR'!G:G)</f>
        <v>1</v>
      </c>
      <c r="G112" s="12">
        <f>VLOOKUP(Tabell46[[#This Row],[Namn]],'ALLA ÅR'!B:J,9,0)</f>
        <v>2011</v>
      </c>
      <c r="H112" s="12">
        <f>COUNTIF('ALLA ÅR'!B:B,Tabell46[[#This Row],[Namn]])</f>
        <v>1</v>
      </c>
      <c r="I112" s="12">
        <f>VLOOKUP(Tabell46[[#This Row],[Namn]],'ALLA ÅR'!B:L,11,0)</f>
        <v>27</v>
      </c>
      <c r="J112" s="12">
        <f>RANK(Tabell46[[#This Row],[MÅL]],F:F)</f>
        <v>67</v>
      </c>
      <c r="K112" s="12">
        <f>RANK(Tabell46[[#This Row],[VAR]],D:D)</f>
        <v>44</v>
      </c>
      <c r="L112" s="12">
        <f>RANK(Tabell46[[#This Row],[MAT]],C:C)</f>
        <v>49</v>
      </c>
      <c r="M112" s="14">
        <f>Tabell46[[#This Row],[MAT]]/Tabell46[[#This Row],[ANTAL MATCHER]]</f>
        <v>0.95833333333333337</v>
      </c>
      <c r="N112" s="12">
        <f>SUMIF('ALLA ÅR'!B:B,Tabell46[[#This Row],[Namn]],'ALLA ÅR'!H:H)</f>
        <v>24</v>
      </c>
      <c r="O112" s="12">
        <f>RANK(Tabell46[[#This Row],[ÅLDER]],I:I)</f>
        <v>12</v>
      </c>
      <c r="P112" s="21">
        <f>Tabell46[[#This Row],[MÅL]]/Tabell46[[#This Row],[MAT]]</f>
        <v>4.3478260869565216E-2</v>
      </c>
      <c r="Q112" s="12">
        <f>_xlfn.XLOOKUP(Tabell46[[#This Row],[Namn]],V:V,W:W)</f>
        <v>0</v>
      </c>
      <c r="R112" s="12">
        <f>_xlfn.XLOOKUP(Tabell46[[#This Row],[Namn]],V:V,X:X)</f>
        <v>0</v>
      </c>
      <c r="S112" s="12">
        <f>_xlfn.XLOOKUP(Tabell46[[#This Row],[Namn]],V:V,Y:Y)</f>
        <v>1</v>
      </c>
      <c r="T112" s="12">
        <f>_xlfn.XLOOKUP(Tabell46[[#This Row],[Namn]],V:V,Z:Z)</f>
        <v>0</v>
      </c>
      <c r="V112" s="3" t="s">
        <v>109</v>
      </c>
      <c r="W112" s="152"/>
      <c r="X112" s="152">
        <v>0</v>
      </c>
      <c r="Y112" s="152">
        <v>1</v>
      </c>
      <c r="Z112" s="152"/>
      <c r="AA112" s="152">
        <v>1</v>
      </c>
      <c r="AB112"/>
      <c r="AC112" s="3" t="s">
        <v>109</v>
      </c>
      <c r="AD112" s="152">
        <v>0</v>
      </c>
      <c r="AE112" s="152">
        <v>1</v>
      </c>
      <c r="AF112" s="152"/>
      <c r="AG112" s="152"/>
      <c r="AH112" s="152"/>
      <c r="AI112" s="152"/>
      <c r="AJ112" s="152"/>
      <c r="AK112" s="152"/>
      <c r="AL112" s="152">
        <v>0</v>
      </c>
      <c r="AM112" s="152">
        <v>0</v>
      </c>
      <c r="AN112" s="152"/>
      <c r="AO112" s="152"/>
      <c r="AP112" s="152"/>
      <c r="AQ112" s="152"/>
      <c r="AR112" s="152"/>
      <c r="AS112" s="152"/>
      <c r="AT112" s="152"/>
      <c r="AU112" s="151">
        <v>1</v>
      </c>
      <c r="AW112" s="3" t="s">
        <v>109</v>
      </c>
      <c r="AX112" s="151"/>
      <c r="AY112" s="151"/>
      <c r="AZ112" s="151"/>
      <c r="BA112" s="151"/>
      <c r="BB112" s="151"/>
      <c r="BC112" s="151"/>
      <c r="BD112" s="151"/>
      <c r="BE112" s="151"/>
      <c r="BF112" s="151">
        <v>0</v>
      </c>
      <c r="BG112" s="151">
        <v>1</v>
      </c>
      <c r="BH112" s="151"/>
      <c r="BI112" s="151"/>
      <c r="BJ112" s="151"/>
      <c r="BK112" s="151"/>
      <c r="BL112" s="151"/>
      <c r="BM112" s="151"/>
      <c r="BN112" s="151">
        <v>0</v>
      </c>
      <c r="BO112" s="151">
        <v>0</v>
      </c>
      <c r="BP112" s="151"/>
      <c r="BQ112" s="151"/>
      <c r="BR112" s="151"/>
      <c r="BS112" s="151"/>
      <c r="BT112" s="151"/>
      <c r="BU112" s="151"/>
      <c r="BV112" s="151"/>
      <c r="BW112" s="151"/>
      <c r="BX112" s="151"/>
      <c r="BY112" s="151"/>
      <c r="BZ112" s="151"/>
      <c r="CA112" s="151"/>
      <c r="CB112" s="151"/>
      <c r="CC112" s="151">
        <v>1</v>
      </c>
    </row>
    <row r="113" spans="1:81" x14ac:dyDescent="0.25">
      <c r="A113" s="15">
        <f>Tabell46[[#This Row],[RANK MÅL]]</f>
        <v>67</v>
      </c>
      <c r="B113" s="11" t="s">
        <v>191</v>
      </c>
      <c r="C113" s="12">
        <f>SUMIF('ALLA ÅR'!B:B,Tabell46[[#This Row],[Namn]],'ALLA ÅR'!C:C)</f>
        <v>29</v>
      </c>
      <c r="D113" s="12">
        <f>SUMIF('ALLA ÅR'!B:B,Tabell46[[#This Row],[Namn]],'ALLA ÅR'!E:E)</f>
        <v>2</v>
      </c>
      <c r="E113" s="12">
        <f>SUMIF('ALLA ÅR'!B:B,Tabell46[[#This Row],[Namn]],'ALLA ÅR'!F:F)</f>
        <v>0</v>
      </c>
      <c r="F113" s="12">
        <f>SUMIF('ALLA ÅR'!B:B,Tabell46[[#This Row],[Namn]],'ALLA ÅR'!G:G)</f>
        <v>1</v>
      </c>
      <c r="G113" s="12">
        <f>VLOOKUP(Tabell46[[#This Row],[Namn]],'ALLA ÅR'!B:J,9,0)</f>
        <v>2011</v>
      </c>
      <c r="H113" s="12">
        <f>COUNTIF('ALLA ÅR'!B:B,Tabell46[[#This Row],[Namn]])</f>
        <v>2</v>
      </c>
      <c r="I113" s="12">
        <f>VLOOKUP(Tabell46[[#This Row],[Namn]],'ALLA ÅR'!B:L,11,0)</f>
        <v>20</v>
      </c>
      <c r="J113" s="12">
        <f>RANK(Tabell46[[#This Row],[MÅL]],F:F)</f>
        <v>67</v>
      </c>
      <c r="K113" s="12">
        <f>RANK(Tabell46[[#This Row],[VAR]],D:D)</f>
        <v>18</v>
      </c>
      <c r="L113" s="12">
        <f>RANK(Tabell46[[#This Row],[MAT]],C:C)</f>
        <v>41</v>
      </c>
      <c r="M113" s="14">
        <f>Tabell46[[#This Row],[MAT]]/Tabell46[[#This Row],[ANTAL MATCHER]]</f>
        <v>0.63043478260869568</v>
      </c>
      <c r="N113" s="12">
        <f>SUMIF('ALLA ÅR'!B:B,Tabell46[[#This Row],[Namn]],'ALLA ÅR'!H:H)</f>
        <v>46</v>
      </c>
      <c r="O113" s="12">
        <f>RANK(Tabell46[[#This Row],[ÅLDER]],I:I)</f>
        <v>50</v>
      </c>
      <c r="P113" s="21">
        <f>Tabell46[[#This Row],[MÅL]]/Tabell46[[#This Row],[MAT]]</f>
        <v>3.4482758620689655E-2</v>
      </c>
      <c r="Q113" s="12">
        <f>_xlfn.XLOOKUP(Tabell46[[#This Row],[Namn]],V:V,W:W)</f>
        <v>0</v>
      </c>
      <c r="R113" s="12">
        <f>_xlfn.XLOOKUP(Tabell46[[#This Row],[Namn]],V:V,X:X)</f>
        <v>0</v>
      </c>
      <c r="S113" s="12">
        <f>_xlfn.XLOOKUP(Tabell46[[#This Row],[Namn]],V:V,Y:Y)</f>
        <v>1</v>
      </c>
      <c r="T113" s="12">
        <f>_xlfn.XLOOKUP(Tabell46[[#This Row],[Namn]],V:V,Z:Z)</f>
        <v>0</v>
      </c>
      <c r="V113" s="3" t="s">
        <v>27</v>
      </c>
      <c r="W113" s="152"/>
      <c r="X113" s="152"/>
      <c r="Y113" s="152"/>
      <c r="Z113" s="152">
        <v>1</v>
      </c>
      <c r="AA113" s="152">
        <v>1</v>
      </c>
      <c r="AB113"/>
      <c r="AC113" s="3" t="s">
        <v>78</v>
      </c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>
        <v>1</v>
      </c>
      <c r="AR113" s="152"/>
      <c r="AS113" s="152"/>
      <c r="AT113" s="152"/>
      <c r="AU113" s="151">
        <v>1</v>
      </c>
      <c r="AW113" s="3" t="s">
        <v>78</v>
      </c>
      <c r="AX113" s="151"/>
      <c r="AY113" s="151"/>
      <c r="AZ113" s="151"/>
      <c r="BA113" s="151"/>
      <c r="BB113" s="151">
        <v>1</v>
      </c>
      <c r="BC113" s="151"/>
      <c r="BD113" s="151"/>
      <c r="BE113" s="151"/>
      <c r="BF113" s="151"/>
      <c r="BG113" s="151"/>
      <c r="BH113" s="151"/>
      <c r="BI113" s="151"/>
      <c r="BJ113" s="151"/>
      <c r="BK113" s="151"/>
      <c r="BL113" s="151"/>
      <c r="BM113" s="151"/>
      <c r="BN113" s="151"/>
      <c r="BO113" s="151"/>
      <c r="BP113" s="151"/>
      <c r="BQ113" s="151"/>
      <c r="BR113" s="151"/>
      <c r="BS113" s="151"/>
      <c r="BT113" s="151"/>
      <c r="BU113" s="151"/>
      <c r="BV113" s="151"/>
      <c r="BW113" s="151"/>
      <c r="BX113" s="151"/>
      <c r="BY113" s="151"/>
      <c r="BZ113" s="151"/>
      <c r="CA113" s="151"/>
      <c r="CB113" s="151"/>
      <c r="CC113" s="151">
        <v>1</v>
      </c>
    </row>
    <row r="114" spans="1:81" x14ac:dyDescent="0.25">
      <c r="A114" s="13">
        <f>Tabell46[[#This Row],[RANK MÅL]]</f>
        <v>67</v>
      </c>
      <c r="B114" s="11" t="s">
        <v>193</v>
      </c>
      <c r="C114" s="12">
        <f>SUMIF('ALLA ÅR'!B:B,Tabell46[[#This Row],[Namn]],'ALLA ÅR'!C:C)</f>
        <v>23</v>
      </c>
      <c r="D114" s="12">
        <f>SUMIF('ALLA ÅR'!B:B,Tabell46[[#This Row],[Namn]],'ALLA ÅR'!E:E)</f>
        <v>0</v>
      </c>
      <c r="E114" s="12">
        <f>SUMIF('ALLA ÅR'!B:B,Tabell46[[#This Row],[Namn]],'ALLA ÅR'!F:F)</f>
        <v>0</v>
      </c>
      <c r="F114" s="12">
        <f>SUMIF('ALLA ÅR'!B:B,Tabell46[[#This Row],[Namn]],'ALLA ÅR'!G:G)</f>
        <v>1</v>
      </c>
      <c r="G114" s="12">
        <f>VLOOKUP(Tabell46[[#This Row],[Namn]],'ALLA ÅR'!B:J,9,0)</f>
        <v>2011</v>
      </c>
      <c r="H114" s="12">
        <f>COUNTIF('ALLA ÅR'!B:B,Tabell46[[#This Row],[Namn]])</f>
        <v>2</v>
      </c>
      <c r="I114" s="12">
        <f>VLOOKUP(Tabell46[[#This Row],[Namn]],'ALLA ÅR'!B:L,11,0)</f>
        <v>21</v>
      </c>
      <c r="J114" s="12">
        <f>RANK(Tabell46[[#This Row],[MÅL]],F:F)</f>
        <v>67</v>
      </c>
      <c r="K114" s="12">
        <f>RANK(Tabell46[[#This Row],[VAR]],D:D)</f>
        <v>44</v>
      </c>
      <c r="L114" s="12">
        <f>RANK(Tabell46[[#This Row],[MAT]],C:C)</f>
        <v>49</v>
      </c>
      <c r="M114" s="14">
        <f>Tabell46[[#This Row],[MAT]]/Tabell46[[#This Row],[ANTAL MATCHER]]</f>
        <v>0.5</v>
      </c>
      <c r="N114" s="12">
        <f>SUMIF('ALLA ÅR'!B:B,Tabell46[[#This Row],[Namn]],'ALLA ÅR'!H:H)</f>
        <v>46</v>
      </c>
      <c r="O114" s="12">
        <f>RANK(Tabell46[[#This Row],[ÅLDER]],I:I)</f>
        <v>42</v>
      </c>
      <c r="P114" s="21">
        <f>Tabell46[[#This Row],[MÅL]]/Tabell46[[#This Row],[MAT]]</f>
        <v>4.3478260869565216E-2</v>
      </c>
      <c r="Q114" s="12">
        <f>_xlfn.XLOOKUP(Tabell46[[#This Row],[Namn]],V:V,W:W)</f>
        <v>0</v>
      </c>
      <c r="R114" s="12">
        <f>_xlfn.XLOOKUP(Tabell46[[#This Row],[Namn]],V:V,X:X)</f>
        <v>0</v>
      </c>
      <c r="S114" s="12">
        <f>_xlfn.XLOOKUP(Tabell46[[#This Row],[Namn]],V:V,Y:Y)</f>
        <v>1</v>
      </c>
      <c r="T114" s="12">
        <f>_xlfn.XLOOKUP(Tabell46[[#This Row],[Namn]],V:V,Z:Z)</f>
        <v>0</v>
      </c>
      <c r="V114" s="3" t="s">
        <v>123</v>
      </c>
      <c r="W114" s="152"/>
      <c r="X114" s="152"/>
      <c r="Y114" s="152">
        <v>1</v>
      </c>
      <c r="Z114" s="152"/>
      <c r="AA114" s="152">
        <v>1</v>
      </c>
      <c r="AB114"/>
      <c r="AC114" s="3" t="s">
        <v>123</v>
      </c>
      <c r="AD114" s="152"/>
      <c r="AE114" s="152"/>
      <c r="AF114" s="152"/>
      <c r="AG114" s="152"/>
      <c r="AH114" s="152"/>
      <c r="AI114" s="152"/>
      <c r="AJ114" s="152"/>
      <c r="AK114" s="152">
        <v>1</v>
      </c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1">
        <v>1</v>
      </c>
      <c r="AW114" s="3" t="s">
        <v>123</v>
      </c>
      <c r="AX114" s="151"/>
      <c r="AY114" s="151"/>
      <c r="AZ114" s="151"/>
      <c r="BA114" s="151">
        <v>1</v>
      </c>
      <c r="BB114" s="151"/>
      <c r="BC114" s="151"/>
      <c r="BD114" s="151"/>
      <c r="BE114" s="151"/>
      <c r="BF114" s="151"/>
      <c r="BG114" s="151"/>
      <c r="BH114" s="151"/>
      <c r="BI114" s="151"/>
      <c r="BJ114" s="151"/>
      <c r="BK114" s="151"/>
      <c r="BL114" s="151"/>
      <c r="BM114" s="151"/>
      <c r="BN114" s="151"/>
      <c r="BO114" s="151"/>
      <c r="BP114" s="151"/>
      <c r="BQ114" s="151"/>
      <c r="BR114" s="151"/>
      <c r="BS114" s="151"/>
      <c r="BT114" s="151"/>
      <c r="BU114" s="151"/>
      <c r="BV114" s="151"/>
      <c r="BW114" s="151"/>
      <c r="BX114" s="151"/>
      <c r="BY114" s="151"/>
      <c r="BZ114" s="151"/>
      <c r="CA114" s="151"/>
      <c r="CB114" s="151"/>
      <c r="CC114" s="151">
        <v>1</v>
      </c>
    </row>
    <row r="115" spans="1:81" x14ac:dyDescent="0.25">
      <c r="A115" s="15">
        <f>Tabell46[[#This Row],[RANK MÅL]]</f>
        <v>67</v>
      </c>
      <c r="B115" s="11" t="s">
        <v>204</v>
      </c>
      <c r="C115" s="12">
        <f>SUMIF('ALLA ÅR'!B:B,Tabell46[[#This Row],[Namn]],'ALLA ÅR'!C:C)</f>
        <v>7</v>
      </c>
      <c r="D115" s="12">
        <f>SUMIF('ALLA ÅR'!B:B,Tabell46[[#This Row],[Namn]],'ALLA ÅR'!E:E)</f>
        <v>0</v>
      </c>
      <c r="E115" s="12">
        <f>SUMIF('ALLA ÅR'!B:B,Tabell46[[#This Row],[Namn]],'ALLA ÅR'!F:F)</f>
        <v>0</v>
      </c>
      <c r="F115" s="12">
        <f>SUMIF('ALLA ÅR'!B:B,Tabell46[[#This Row],[Namn]],'ALLA ÅR'!G:G)</f>
        <v>1</v>
      </c>
      <c r="G115" s="12">
        <f>VLOOKUP(Tabell46[[#This Row],[Namn]],'ALLA ÅR'!B:J,9,0)</f>
        <v>2010</v>
      </c>
      <c r="H115" s="12">
        <f>COUNTIF('ALLA ÅR'!B:B,Tabell46[[#This Row],[Namn]])</f>
        <v>1</v>
      </c>
      <c r="I115" s="12">
        <f>VLOOKUP(Tabell46[[#This Row],[Namn]],'ALLA ÅR'!B:L,11,0)</f>
        <v>18</v>
      </c>
      <c r="J115" s="12">
        <f>RANK(Tabell46[[#This Row],[MÅL]],F:F)</f>
        <v>67</v>
      </c>
      <c r="K115" s="12">
        <f>RANK(Tabell46[[#This Row],[VAR]],D:D)</f>
        <v>44</v>
      </c>
      <c r="L115" s="12">
        <f>RANK(Tabell46[[#This Row],[MAT]],C:C)</f>
        <v>86</v>
      </c>
      <c r="M115" s="14">
        <f>Tabell46[[#This Row],[MAT]]/Tabell46[[#This Row],[ANTAL MATCHER]]</f>
        <v>0.31818181818181818</v>
      </c>
      <c r="N115" s="12">
        <f>SUMIF('ALLA ÅR'!B:B,Tabell46[[#This Row],[Namn]],'ALLA ÅR'!H:H)</f>
        <v>22</v>
      </c>
      <c r="O115" s="12">
        <f>RANK(Tabell46[[#This Row],[ÅLDER]],I:I)</f>
        <v>72</v>
      </c>
      <c r="P115" s="21">
        <f>Tabell46[[#This Row],[MÅL]]/Tabell46[[#This Row],[MAT]]</f>
        <v>0.14285714285714285</v>
      </c>
      <c r="Q115" s="12">
        <f>_xlfn.XLOOKUP(Tabell46[[#This Row],[Namn]],V:V,W:W)</f>
        <v>0</v>
      </c>
      <c r="R115" s="12">
        <f>_xlfn.XLOOKUP(Tabell46[[#This Row],[Namn]],V:V,X:X)</f>
        <v>0</v>
      </c>
      <c r="S115" s="12">
        <f>_xlfn.XLOOKUP(Tabell46[[#This Row],[Namn]],V:V,Y:Y)</f>
        <v>1</v>
      </c>
      <c r="T115" s="12">
        <f>_xlfn.XLOOKUP(Tabell46[[#This Row],[Namn]],V:V,Z:Z)</f>
        <v>0</v>
      </c>
      <c r="V115" s="3" t="s">
        <v>81</v>
      </c>
      <c r="W115" s="152"/>
      <c r="X115" s="152">
        <v>1</v>
      </c>
      <c r="Y115" s="152"/>
      <c r="Z115" s="152"/>
      <c r="AA115" s="152">
        <v>1</v>
      </c>
      <c r="AB115"/>
      <c r="AC115" s="3" t="s">
        <v>81</v>
      </c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>
        <v>0</v>
      </c>
      <c r="AP115" s="152">
        <v>1</v>
      </c>
      <c r="AQ115" s="152"/>
      <c r="AR115" s="152"/>
      <c r="AS115" s="152"/>
      <c r="AT115" s="152"/>
      <c r="AU115" s="151">
        <v>1</v>
      </c>
      <c r="AW115" s="3" t="s">
        <v>81</v>
      </c>
      <c r="AX115" s="151"/>
      <c r="AY115" s="151"/>
      <c r="AZ115" s="151"/>
      <c r="BA115" s="151"/>
      <c r="BB115" s="151">
        <v>0</v>
      </c>
      <c r="BC115" s="151">
        <v>1</v>
      </c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1"/>
      <c r="BN115" s="151"/>
      <c r="BO115" s="151"/>
      <c r="BP115" s="151"/>
      <c r="BQ115" s="151"/>
      <c r="BR115" s="151"/>
      <c r="BS115" s="151"/>
      <c r="BT115" s="151"/>
      <c r="BU115" s="151"/>
      <c r="BV115" s="151"/>
      <c r="BW115" s="151"/>
      <c r="BX115" s="151"/>
      <c r="BY115" s="151"/>
      <c r="BZ115" s="151"/>
      <c r="CA115" s="151"/>
      <c r="CB115" s="151"/>
      <c r="CC115" s="151">
        <v>1</v>
      </c>
    </row>
    <row r="116" spans="1:81" x14ac:dyDescent="0.25">
      <c r="A116" s="13">
        <f>Tabell46[[#This Row],[RANK MÅL]]</f>
        <v>67</v>
      </c>
      <c r="B116" s="11" t="s">
        <v>206</v>
      </c>
      <c r="C116" s="12">
        <f>SUMIF('ALLA ÅR'!B:B,Tabell46[[#This Row],[Namn]],'ALLA ÅR'!C:C)</f>
        <v>4</v>
      </c>
      <c r="D116" s="12">
        <f>SUMIF('ALLA ÅR'!B:B,Tabell46[[#This Row],[Namn]],'ALLA ÅR'!E:E)</f>
        <v>0</v>
      </c>
      <c r="E116" s="12">
        <f>SUMIF('ALLA ÅR'!B:B,Tabell46[[#This Row],[Namn]],'ALLA ÅR'!F:F)</f>
        <v>0</v>
      </c>
      <c r="F116" s="12">
        <f>SUMIF('ALLA ÅR'!B:B,Tabell46[[#This Row],[Namn]],'ALLA ÅR'!G:G)</f>
        <v>1</v>
      </c>
      <c r="G116" s="12">
        <f>VLOOKUP(Tabell46[[#This Row],[Namn]],'ALLA ÅR'!B:J,9,0)</f>
        <v>2010</v>
      </c>
      <c r="H116" s="12">
        <f>COUNTIF('ALLA ÅR'!B:B,Tabell46[[#This Row],[Namn]])</f>
        <v>1</v>
      </c>
      <c r="I116" s="12">
        <f>VLOOKUP(Tabell46[[#This Row],[Namn]],'ALLA ÅR'!B:L,11,0)</f>
        <v>20</v>
      </c>
      <c r="J116" s="12">
        <f>RANK(Tabell46[[#This Row],[MÅL]],F:F)</f>
        <v>67</v>
      </c>
      <c r="K116" s="12">
        <f>RANK(Tabell46[[#This Row],[VAR]],D:D)</f>
        <v>44</v>
      </c>
      <c r="L116" s="12">
        <f>RANK(Tabell46[[#This Row],[MAT]],C:C)</f>
        <v>96</v>
      </c>
      <c r="M116" s="14">
        <f>Tabell46[[#This Row],[MAT]]/Tabell46[[#This Row],[ANTAL MATCHER]]</f>
        <v>0.18181818181818182</v>
      </c>
      <c r="N116" s="12">
        <f>SUMIF('ALLA ÅR'!B:B,Tabell46[[#This Row],[Namn]],'ALLA ÅR'!H:H)</f>
        <v>22</v>
      </c>
      <c r="O116" s="12">
        <f>RANK(Tabell46[[#This Row],[ÅLDER]],I:I)</f>
        <v>50</v>
      </c>
      <c r="P116" s="21">
        <f>Tabell46[[#This Row],[MÅL]]/Tabell46[[#This Row],[MAT]]</f>
        <v>0.25</v>
      </c>
      <c r="Q116" s="12">
        <f>_xlfn.XLOOKUP(Tabell46[[#This Row],[Namn]],V:V,W:W)</f>
        <v>0</v>
      </c>
      <c r="R116" s="12">
        <f>_xlfn.XLOOKUP(Tabell46[[#This Row],[Namn]],V:V,X:X)</f>
        <v>0</v>
      </c>
      <c r="S116" s="12">
        <f>_xlfn.XLOOKUP(Tabell46[[#This Row],[Namn]],V:V,Y:Y)</f>
        <v>1</v>
      </c>
      <c r="T116" s="12">
        <f>_xlfn.XLOOKUP(Tabell46[[#This Row],[Namn]],V:V,Z:Z)</f>
        <v>0</v>
      </c>
      <c r="V116" s="3" t="s">
        <v>151</v>
      </c>
      <c r="W116" s="152"/>
      <c r="X116" s="152"/>
      <c r="Y116" s="152"/>
      <c r="Z116" s="152">
        <v>1</v>
      </c>
      <c r="AA116" s="152">
        <v>1</v>
      </c>
      <c r="AB116"/>
      <c r="AC116" s="3" t="s">
        <v>151</v>
      </c>
      <c r="AD116" s="152"/>
      <c r="AE116" s="152"/>
      <c r="AF116" s="152"/>
      <c r="AG116" s="152"/>
      <c r="AH116" s="152">
        <v>0</v>
      </c>
      <c r="AI116" s="152">
        <v>1</v>
      </c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1">
        <v>1</v>
      </c>
      <c r="AW116" s="3" t="s">
        <v>151</v>
      </c>
      <c r="AX116" s="151"/>
      <c r="AY116" s="151"/>
      <c r="AZ116" s="151">
        <v>0</v>
      </c>
      <c r="BA116" s="151">
        <v>1</v>
      </c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51"/>
      <c r="BZ116" s="151"/>
      <c r="CA116" s="151"/>
      <c r="CB116" s="151"/>
      <c r="CC116" s="151">
        <v>1</v>
      </c>
    </row>
    <row r="117" spans="1:81" x14ac:dyDescent="0.25">
      <c r="V117" s="3" t="s">
        <v>191</v>
      </c>
      <c r="W117" s="152"/>
      <c r="X117" s="152"/>
      <c r="Y117" s="152">
        <v>1</v>
      </c>
      <c r="Z117" s="152"/>
      <c r="AA117" s="152">
        <v>1</v>
      </c>
      <c r="AB117"/>
      <c r="AC117" s="3" t="s">
        <v>191</v>
      </c>
      <c r="AD117" s="152">
        <v>0</v>
      </c>
      <c r="AE117" s="152">
        <v>1</v>
      </c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1">
        <v>1</v>
      </c>
      <c r="AW117" s="3" t="s">
        <v>191</v>
      </c>
      <c r="AX117" s="151"/>
      <c r="AY117" s="151"/>
      <c r="AZ117" s="151"/>
      <c r="BA117" s="151"/>
      <c r="BB117" s="151"/>
      <c r="BC117" s="151"/>
      <c r="BD117" s="151">
        <v>0</v>
      </c>
      <c r="BE117" s="151">
        <v>1</v>
      </c>
      <c r="BF117" s="151"/>
      <c r="BG117" s="151"/>
      <c r="BH117" s="151"/>
      <c r="BI117" s="151"/>
      <c r="BJ117" s="151"/>
      <c r="BK117" s="151"/>
      <c r="BL117" s="151"/>
      <c r="BM117" s="151"/>
      <c r="BN117" s="151"/>
      <c r="BO117" s="151"/>
      <c r="BP117" s="151"/>
      <c r="BQ117" s="151"/>
      <c r="BR117" s="151"/>
      <c r="BS117" s="151"/>
      <c r="BT117" s="151"/>
      <c r="BU117" s="151"/>
      <c r="BV117" s="151"/>
      <c r="BW117" s="151"/>
      <c r="BX117" s="151"/>
      <c r="BY117" s="151"/>
      <c r="BZ117" s="151"/>
      <c r="CA117" s="151"/>
      <c r="CB117" s="151"/>
      <c r="CC117" s="151">
        <v>1</v>
      </c>
    </row>
    <row r="118" spans="1:81" x14ac:dyDescent="0.25">
      <c r="V118" s="3" t="s">
        <v>68</v>
      </c>
      <c r="W118" s="152"/>
      <c r="X118" s="152">
        <v>0</v>
      </c>
      <c r="Y118" s="152"/>
      <c r="Z118" s="152"/>
      <c r="AA118" s="152">
        <v>0</v>
      </c>
      <c r="AB118"/>
      <c r="AC118" s="3" t="s">
        <v>197</v>
      </c>
      <c r="AD118" s="152">
        <v>0</v>
      </c>
      <c r="AE118" s="152">
        <v>0</v>
      </c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1">
        <v>0</v>
      </c>
      <c r="AW118" s="3" t="s">
        <v>197</v>
      </c>
      <c r="AX118" s="151"/>
      <c r="AY118" s="151"/>
      <c r="AZ118" s="151"/>
      <c r="BA118" s="151"/>
      <c r="BB118" s="151"/>
      <c r="BC118" s="151">
        <v>0</v>
      </c>
      <c r="BD118" s="151">
        <v>0</v>
      </c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>
        <v>0</v>
      </c>
    </row>
    <row r="119" spans="1:81" x14ac:dyDescent="0.25">
      <c r="V119" s="3" t="s">
        <v>145</v>
      </c>
      <c r="W119" s="152"/>
      <c r="X119" s="152"/>
      <c r="Y119" s="152"/>
      <c r="Z119" s="152">
        <v>0</v>
      </c>
      <c r="AA119" s="152">
        <v>0</v>
      </c>
      <c r="AB119"/>
      <c r="AC119" s="3" t="s">
        <v>53</v>
      </c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>
        <v>0</v>
      </c>
      <c r="AS119" s="152">
        <v>0</v>
      </c>
      <c r="AT119" s="152"/>
      <c r="AU119" s="151">
        <v>0</v>
      </c>
      <c r="AW119" s="3" t="s">
        <v>53</v>
      </c>
      <c r="AX119" s="151"/>
      <c r="AY119" s="151"/>
      <c r="AZ119" s="151"/>
      <c r="BA119" s="151">
        <v>0</v>
      </c>
      <c r="BB119" s="151">
        <v>0</v>
      </c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151"/>
      <c r="BN119" s="151"/>
      <c r="BO119" s="151"/>
      <c r="BP119" s="151"/>
      <c r="BQ119" s="151"/>
      <c r="BR119" s="151"/>
      <c r="BS119" s="151"/>
      <c r="BT119" s="151"/>
      <c r="BU119" s="151"/>
      <c r="BV119" s="151"/>
      <c r="BW119" s="151"/>
      <c r="BX119" s="151"/>
      <c r="BY119" s="151"/>
      <c r="BZ119" s="151"/>
      <c r="CA119" s="151"/>
      <c r="CB119" s="151"/>
      <c r="CC119" s="151">
        <v>0</v>
      </c>
    </row>
    <row r="120" spans="1:81" x14ac:dyDescent="0.25">
      <c r="V120" s="3" t="s">
        <v>180</v>
      </c>
      <c r="W120" s="152"/>
      <c r="X120" s="152"/>
      <c r="Y120" s="152"/>
      <c r="Z120" s="152">
        <v>0</v>
      </c>
      <c r="AA120" s="152">
        <v>0</v>
      </c>
      <c r="AB120"/>
      <c r="AC120" s="3" t="s">
        <v>143</v>
      </c>
      <c r="AD120" s="152"/>
      <c r="AE120" s="152"/>
      <c r="AF120" s="152"/>
      <c r="AG120" s="152"/>
      <c r="AH120" s="152"/>
      <c r="AI120" s="152"/>
      <c r="AJ120" s="152">
        <v>0</v>
      </c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1">
        <v>0</v>
      </c>
      <c r="AW120" s="3" t="s">
        <v>143</v>
      </c>
      <c r="AX120" s="151"/>
      <c r="AY120" s="151"/>
      <c r="AZ120" s="151"/>
      <c r="BA120" s="151"/>
      <c r="BB120" s="151">
        <v>0</v>
      </c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1"/>
      <c r="BN120" s="151"/>
      <c r="BO120" s="151"/>
      <c r="BP120" s="151"/>
      <c r="BQ120" s="151"/>
      <c r="BR120" s="151"/>
      <c r="BS120" s="151"/>
      <c r="BT120" s="151"/>
      <c r="BU120" s="151"/>
      <c r="BV120" s="151"/>
      <c r="BW120" s="151"/>
      <c r="BX120" s="151"/>
      <c r="BY120" s="151"/>
      <c r="BZ120" s="151"/>
      <c r="CA120" s="151"/>
      <c r="CB120" s="151"/>
      <c r="CC120" s="151">
        <v>0</v>
      </c>
    </row>
    <row r="121" spans="1:81" x14ac:dyDescent="0.25">
      <c r="V121" s="3" t="s">
        <v>75</v>
      </c>
      <c r="W121" s="152">
        <v>0</v>
      </c>
      <c r="X121" s="152">
        <v>0</v>
      </c>
      <c r="Y121" s="152"/>
      <c r="Z121" s="152"/>
      <c r="AA121" s="152">
        <v>0</v>
      </c>
      <c r="AB121"/>
      <c r="AC121" s="3" t="s">
        <v>175</v>
      </c>
      <c r="AD121" s="152"/>
      <c r="AE121" s="152"/>
      <c r="AF121" s="152"/>
      <c r="AG121" s="152"/>
      <c r="AH121" s="152">
        <v>0</v>
      </c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1">
        <v>0</v>
      </c>
      <c r="AW121" s="3" t="s">
        <v>175</v>
      </c>
      <c r="AX121" s="151"/>
      <c r="AY121" s="151"/>
      <c r="AZ121" s="151"/>
      <c r="BA121" s="151">
        <v>0</v>
      </c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151"/>
      <c r="BN121" s="151"/>
      <c r="BO121" s="151"/>
      <c r="BP121" s="151"/>
      <c r="BQ121" s="151"/>
      <c r="BR121" s="151"/>
      <c r="BS121" s="151"/>
      <c r="BT121" s="151"/>
      <c r="BU121" s="151"/>
      <c r="BV121" s="151"/>
      <c r="BW121" s="151"/>
      <c r="BX121" s="151"/>
      <c r="BY121" s="151"/>
      <c r="BZ121" s="151"/>
      <c r="CA121" s="151"/>
      <c r="CB121" s="151"/>
      <c r="CC121" s="151">
        <v>0</v>
      </c>
    </row>
    <row r="122" spans="1:81" x14ac:dyDescent="0.25">
      <c r="V122" s="3" t="s">
        <v>198</v>
      </c>
      <c r="W122" s="152"/>
      <c r="X122" s="152"/>
      <c r="Y122" s="152">
        <v>0</v>
      </c>
      <c r="Z122" s="152"/>
      <c r="AA122" s="152">
        <v>0</v>
      </c>
      <c r="AB122"/>
      <c r="AC122" s="3" t="s">
        <v>37</v>
      </c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>
        <v>0</v>
      </c>
      <c r="AS122" s="152">
        <v>0</v>
      </c>
      <c r="AT122" s="152">
        <v>0</v>
      </c>
      <c r="AU122" s="151">
        <v>0</v>
      </c>
      <c r="AW122" s="3" t="s">
        <v>37</v>
      </c>
      <c r="AX122" s="151"/>
      <c r="AY122" s="151"/>
      <c r="AZ122" s="151"/>
      <c r="BA122" s="151"/>
      <c r="BB122" s="151">
        <v>0</v>
      </c>
      <c r="BC122" s="151">
        <v>0</v>
      </c>
      <c r="BD122" s="151">
        <v>0</v>
      </c>
      <c r="BE122" s="151"/>
      <c r="BF122" s="151"/>
      <c r="BG122" s="151"/>
      <c r="BH122" s="151"/>
      <c r="BI122" s="151"/>
      <c r="BJ122" s="151"/>
      <c r="BK122" s="151"/>
      <c r="BL122" s="151"/>
      <c r="BM122" s="151"/>
      <c r="BN122" s="151"/>
      <c r="BO122" s="151"/>
      <c r="BP122" s="151"/>
      <c r="BQ122" s="151"/>
      <c r="BR122" s="151"/>
      <c r="BS122" s="151"/>
      <c r="BT122" s="151"/>
      <c r="BU122" s="151"/>
      <c r="BV122" s="151"/>
      <c r="BW122" s="151"/>
      <c r="BX122" s="151"/>
      <c r="BY122" s="151"/>
      <c r="BZ122" s="151"/>
      <c r="CA122" s="151"/>
      <c r="CB122" s="151"/>
      <c r="CC122" s="151">
        <v>0</v>
      </c>
    </row>
    <row r="123" spans="1:81" x14ac:dyDescent="0.25">
      <c r="V123" s="3" t="s">
        <v>202</v>
      </c>
      <c r="W123" s="152"/>
      <c r="X123" s="152"/>
      <c r="Y123" s="152">
        <v>0</v>
      </c>
      <c r="Z123" s="152"/>
      <c r="AA123" s="152">
        <v>0</v>
      </c>
      <c r="AB123"/>
      <c r="AC123" s="3" t="s">
        <v>104</v>
      </c>
      <c r="AD123" s="152"/>
      <c r="AE123" s="152"/>
      <c r="AF123" s="152"/>
      <c r="AG123" s="152"/>
      <c r="AH123" s="152"/>
      <c r="AI123" s="152">
        <v>0</v>
      </c>
      <c r="AJ123" s="152">
        <v>0</v>
      </c>
      <c r="AK123" s="152"/>
      <c r="AL123" s="152"/>
      <c r="AM123" s="152"/>
      <c r="AN123" s="152">
        <v>0</v>
      </c>
      <c r="AO123" s="152"/>
      <c r="AP123" s="152"/>
      <c r="AQ123" s="152"/>
      <c r="AR123" s="152"/>
      <c r="AS123" s="152"/>
      <c r="AT123" s="152"/>
      <c r="AU123" s="151">
        <v>0</v>
      </c>
      <c r="AW123" s="3" t="s">
        <v>104</v>
      </c>
      <c r="AX123" s="151"/>
      <c r="AY123" s="151">
        <v>0</v>
      </c>
      <c r="AZ123" s="151">
        <v>0</v>
      </c>
      <c r="BA123" s="151"/>
      <c r="BB123" s="151"/>
      <c r="BC123" s="151"/>
      <c r="BD123" s="151">
        <v>0</v>
      </c>
      <c r="BE123" s="151"/>
      <c r="BF123" s="151"/>
      <c r="BG123" s="151"/>
      <c r="BH123" s="151"/>
      <c r="BI123" s="151"/>
      <c r="BJ123" s="151"/>
      <c r="BK123" s="151"/>
      <c r="BL123" s="151"/>
      <c r="BM123" s="151"/>
      <c r="BN123" s="151"/>
      <c r="BO123" s="151"/>
      <c r="BP123" s="151"/>
      <c r="BQ123" s="151"/>
      <c r="BR123" s="151"/>
      <c r="BS123" s="151"/>
      <c r="BT123" s="151"/>
      <c r="BU123" s="151"/>
      <c r="BV123" s="151"/>
      <c r="BW123" s="151"/>
      <c r="BX123" s="151"/>
      <c r="BY123" s="151"/>
      <c r="BZ123" s="151"/>
      <c r="CA123" s="151"/>
      <c r="CB123" s="151"/>
      <c r="CC123" s="151">
        <v>0</v>
      </c>
    </row>
    <row r="124" spans="1:81" x14ac:dyDescent="0.25">
      <c r="V124" s="3" t="s">
        <v>179</v>
      </c>
      <c r="W124" s="152"/>
      <c r="X124" s="152"/>
      <c r="Y124" s="152"/>
      <c r="Z124" s="152">
        <v>0</v>
      </c>
      <c r="AA124" s="152">
        <v>0</v>
      </c>
      <c r="AB124"/>
      <c r="AC124" s="3" t="s">
        <v>128</v>
      </c>
      <c r="AD124" s="152"/>
      <c r="AE124" s="152"/>
      <c r="AF124" s="152"/>
      <c r="AG124" s="152"/>
      <c r="AH124" s="152"/>
      <c r="AI124" s="152"/>
      <c r="AJ124" s="152"/>
      <c r="AK124" s="152">
        <v>0</v>
      </c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1">
        <v>0</v>
      </c>
      <c r="AW124" s="3" t="s">
        <v>128</v>
      </c>
      <c r="AX124" s="151"/>
      <c r="AY124" s="151"/>
      <c r="AZ124" s="151">
        <v>0</v>
      </c>
      <c r="BA124" s="151"/>
      <c r="BB124" s="151"/>
      <c r="BC124" s="151"/>
      <c r="BD124" s="151"/>
      <c r="BE124" s="151"/>
      <c r="BF124" s="151"/>
      <c r="BG124" s="151"/>
      <c r="BH124" s="151"/>
      <c r="BI124" s="151"/>
      <c r="BJ124" s="151"/>
      <c r="BK124" s="151"/>
      <c r="BL124" s="151"/>
      <c r="BM124" s="151"/>
      <c r="BN124" s="151"/>
      <c r="BO124" s="151"/>
      <c r="BP124" s="151"/>
      <c r="BQ124" s="151"/>
      <c r="BR124" s="151"/>
      <c r="BS124" s="151"/>
      <c r="BT124" s="151"/>
      <c r="BU124" s="151"/>
      <c r="BV124" s="151"/>
      <c r="BW124" s="151"/>
      <c r="BX124" s="151"/>
      <c r="BY124" s="151"/>
      <c r="BZ124" s="151"/>
      <c r="CA124" s="151"/>
      <c r="CB124" s="151"/>
      <c r="CC124" s="151">
        <v>0</v>
      </c>
    </row>
    <row r="125" spans="1:81" x14ac:dyDescent="0.25">
      <c r="V125" s="3" t="s">
        <v>163</v>
      </c>
      <c r="W125" s="152"/>
      <c r="X125" s="152"/>
      <c r="Y125" s="152"/>
      <c r="Z125" s="152">
        <v>0</v>
      </c>
      <c r="AA125" s="152">
        <v>0</v>
      </c>
      <c r="AB125"/>
      <c r="AC125" s="3" t="s">
        <v>71</v>
      </c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>
        <v>0</v>
      </c>
      <c r="AN125" s="152">
        <v>0</v>
      </c>
      <c r="AO125" s="152">
        <v>0</v>
      </c>
      <c r="AP125" s="152">
        <v>0</v>
      </c>
      <c r="AQ125" s="152">
        <v>0</v>
      </c>
      <c r="AR125" s="152"/>
      <c r="AS125" s="152"/>
      <c r="AT125" s="152"/>
      <c r="AU125" s="151">
        <v>0</v>
      </c>
      <c r="AW125" s="3" t="s">
        <v>71</v>
      </c>
      <c r="AX125" s="151"/>
      <c r="AY125" s="151"/>
      <c r="AZ125" s="151">
        <v>0</v>
      </c>
      <c r="BA125" s="151">
        <v>0</v>
      </c>
      <c r="BB125" s="151">
        <v>0</v>
      </c>
      <c r="BC125" s="151">
        <v>0</v>
      </c>
      <c r="BD125" s="151">
        <v>0</v>
      </c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>
        <v>0</v>
      </c>
    </row>
    <row r="126" spans="1:81" x14ac:dyDescent="0.25">
      <c r="V126" s="3" t="s">
        <v>42</v>
      </c>
      <c r="W126" s="152"/>
      <c r="X126" s="152">
        <v>0</v>
      </c>
      <c r="Y126" s="152"/>
      <c r="Z126" s="152">
        <v>0</v>
      </c>
      <c r="AA126" s="152">
        <v>0</v>
      </c>
      <c r="AB126"/>
      <c r="AC126" s="3" t="s">
        <v>91</v>
      </c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>
        <v>0</v>
      </c>
      <c r="AQ126" s="152"/>
      <c r="AR126" s="152"/>
      <c r="AS126" s="152"/>
      <c r="AT126" s="152"/>
      <c r="AU126" s="151">
        <v>0</v>
      </c>
      <c r="AW126" s="3" t="s">
        <v>91</v>
      </c>
      <c r="AX126" s="151"/>
      <c r="AY126" s="151"/>
      <c r="AZ126" s="151"/>
      <c r="BA126" s="151"/>
      <c r="BB126" s="151"/>
      <c r="BC126" s="151">
        <v>0</v>
      </c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>
        <v>0</v>
      </c>
    </row>
    <row r="127" spans="1:81" x14ac:dyDescent="0.25">
      <c r="V127" s="3" t="s">
        <v>58</v>
      </c>
      <c r="W127" s="152"/>
      <c r="X127" s="152">
        <v>0</v>
      </c>
      <c r="Y127" s="152"/>
      <c r="Z127" s="152"/>
      <c r="AA127" s="152">
        <v>0</v>
      </c>
      <c r="AB127"/>
      <c r="AC127" s="3" t="s">
        <v>122</v>
      </c>
      <c r="AD127" s="152"/>
      <c r="AE127" s="152"/>
      <c r="AF127" s="152"/>
      <c r="AG127" s="152"/>
      <c r="AH127" s="152"/>
      <c r="AI127" s="152"/>
      <c r="AJ127" s="152">
        <v>0</v>
      </c>
      <c r="AK127" s="152">
        <v>0</v>
      </c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1">
        <v>0</v>
      </c>
      <c r="AW127" s="3" t="s">
        <v>122</v>
      </c>
      <c r="AX127" s="151"/>
      <c r="AY127" s="151"/>
      <c r="AZ127" s="151"/>
      <c r="BA127" s="151"/>
      <c r="BB127" s="151"/>
      <c r="BC127" s="151">
        <v>0</v>
      </c>
      <c r="BD127" s="151">
        <v>0</v>
      </c>
      <c r="BE127" s="151"/>
      <c r="BF127" s="151"/>
      <c r="BG127" s="151"/>
      <c r="BH127" s="151"/>
      <c r="BI127" s="151"/>
      <c r="BJ127" s="151"/>
      <c r="BK127" s="151"/>
      <c r="BL127" s="151"/>
      <c r="BM127" s="151"/>
      <c r="BN127" s="151"/>
      <c r="BO127" s="151"/>
      <c r="BP127" s="151"/>
      <c r="BQ127" s="151"/>
      <c r="BR127" s="151"/>
      <c r="BS127" s="151"/>
      <c r="BT127" s="151"/>
      <c r="BU127" s="151"/>
      <c r="BV127" s="151"/>
      <c r="BW127" s="151"/>
      <c r="BX127" s="151"/>
      <c r="BY127" s="151"/>
      <c r="BZ127" s="151"/>
      <c r="CA127" s="151"/>
      <c r="CB127" s="151"/>
      <c r="CC127" s="151">
        <v>0</v>
      </c>
    </row>
    <row r="128" spans="1:81" x14ac:dyDescent="0.25">
      <c r="V128" s="3" t="s">
        <v>199</v>
      </c>
      <c r="W128" s="152"/>
      <c r="X128" s="152"/>
      <c r="Y128" s="152">
        <v>0</v>
      </c>
      <c r="Z128" s="152"/>
      <c r="AA128" s="152">
        <v>0</v>
      </c>
      <c r="AB128"/>
      <c r="AC128" s="3" t="s">
        <v>60</v>
      </c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>
        <v>0</v>
      </c>
      <c r="AS128" s="152"/>
      <c r="AT128" s="152"/>
      <c r="AU128" s="151">
        <v>0</v>
      </c>
      <c r="AW128" s="3" t="s">
        <v>60</v>
      </c>
      <c r="AX128" s="151"/>
      <c r="AY128" s="151"/>
      <c r="AZ128" s="151"/>
      <c r="BA128" s="151"/>
      <c r="BB128" s="151"/>
      <c r="BC128" s="151">
        <v>0</v>
      </c>
      <c r="BD128" s="151"/>
      <c r="BE128" s="151"/>
      <c r="BF128" s="151"/>
      <c r="BG128" s="151"/>
      <c r="BH128" s="151"/>
      <c r="BI128" s="151"/>
      <c r="BJ128" s="151"/>
      <c r="BK128" s="151"/>
      <c r="BL128" s="151"/>
      <c r="BM128" s="151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1"/>
      <c r="BY128" s="151"/>
      <c r="BZ128" s="151"/>
      <c r="CA128" s="151"/>
      <c r="CB128" s="151"/>
      <c r="CC128" s="151">
        <v>0</v>
      </c>
    </row>
    <row r="129" spans="22:81" x14ac:dyDescent="0.25">
      <c r="V129" s="3" t="s">
        <v>33</v>
      </c>
      <c r="W129" s="152"/>
      <c r="X129" s="152">
        <v>0</v>
      </c>
      <c r="Y129" s="152"/>
      <c r="Z129" s="152">
        <v>0</v>
      </c>
      <c r="AA129" s="152">
        <v>0</v>
      </c>
      <c r="AB129"/>
      <c r="AC129" s="3" t="s">
        <v>75</v>
      </c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>
        <v>0</v>
      </c>
      <c r="AO129" s="152">
        <v>0</v>
      </c>
      <c r="AP129" s="152"/>
      <c r="AQ129" s="152">
        <v>0</v>
      </c>
      <c r="AR129" s="152"/>
      <c r="AS129" s="152"/>
      <c r="AT129" s="152"/>
      <c r="AU129" s="151">
        <v>0</v>
      </c>
      <c r="AW129" s="3" t="s">
        <v>75</v>
      </c>
      <c r="AX129" s="151"/>
      <c r="AY129" s="151"/>
      <c r="AZ129" s="151"/>
      <c r="BA129" s="151"/>
      <c r="BB129" s="151"/>
      <c r="BC129" s="151"/>
      <c r="BD129" s="151"/>
      <c r="BE129" s="151"/>
      <c r="BF129" s="151">
        <v>0</v>
      </c>
      <c r="BG129" s="151">
        <v>0</v>
      </c>
      <c r="BH129" s="151"/>
      <c r="BI129" s="151">
        <v>0</v>
      </c>
      <c r="BJ129" s="151"/>
      <c r="BK129" s="151"/>
      <c r="BL129" s="151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1"/>
      <c r="CA129" s="151"/>
      <c r="CB129" s="151"/>
      <c r="CC129" s="151">
        <v>0</v>
      </c>
    </row>
    <row r="130" spans="22:81" x14ac:dyDescent="0.25">
      <c r="V130" s="3" t="s">
        <v>94</v>
      </c>
      <c r="W130" s="152">
        <v>0</v>
      </c>
      <c r="X130" s="152">
        <v>0</v>
      </c>
      <c r="Y130" s="152"/>
      <c r="Z130" s="152">
        <v>0</v>
      </c>
      <c r="AA130" s="152">
        <v>0</v>
      </c>
      <c r="AB130"/>
      <c r="AC130" s="3" t="s">
        <v>144</v>
      </c>
      <c r="AD130" s="152"/>
      <c r="AE130" s="152"/>
      <c r="AF130" s="152"/>
      <c r="AG130" s="152"/>
      <c r="AH130" s="152"/>
      <c r="AI130" s="152"/>
      <c r="AJ130" s="152">
        <v>0</v>
      </c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1">
        <v>0</v>
      </c>
      <c r="AW130" s="3" t="s">
        <v>144</v>
      </c>
      <c r="AX130" s="151"/>
      <c r="AY130" s="151"/>
      <c r="AZ130" s="151">
        <v>0</v>
      </c>
      <c r="BA130" s="151"/>
      <c r="BB130" s="151"/>
      <c r="BC130" s="151"/>
      <c r="BD130" s="151"/>
      <c r="BE130" s="151"/>
      <c r="BF130" s="151"/>
      <c r="BG130" s="151"/>
      <c r="BH130" s="151"/>
      <c r="BI130" s="151"/>
      <c r="BJ130" s="151"/>
      <c r="BK130" s="151"/>
      <c r="BL130" s="151"/>
      <c r="BM130" s="151"/>
      <c r="BN130" s="151"/>
      <c r="BO130" s="151"/>
      <c r="BP130" s="151"/>
      <c r="BQ130" s="151"/>
      <c r="BR130" s="151"/>
      <c r="BS130" s="151"/>
      <c r="BT130" s="151"/>
      <c r="BU130" s="151"/>
      <c r="BV130" s="151"/>
      <c r="BW130" s="151"/>
      <c r="BX130" s="151"/>
      <c r="BY130" s="151"/>
      <c r="BZ130" s="151"/>
      <c r="CA130" s="151"/>
      <c r="CB130" s="151"/>
      <c r="CC130" s="151">
        <v>0</v>
      </c>
    </row>
    <row r="131" spans="22:81" x14ac:dyDescent="0.25">
      <c r="V131" s="3" t="s">
        <v>90</v>
      </c>
      <c r="W131" s="152"/>
      <c r="X131" s="152">
        <v>0</v>
      </c>
      <c r="Y131" s="152"/>
      <c r="Z131" s="152"/>
      <c r="AA131" s="152">
        <v>0</v>
      </c>
      <c r="AB131"/>
      <c r="AC131" s="3" t="s">
        <v>58</v>
      </c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>
        <v>0</v>
      </c>
      <c r="AR131" s="152">
        <v>0</v>
      </c>
      <c r="AS131" s="152"/>
      <c r="AT131" s="152"/>
      <c r="AU131" s="151">
        <v>0</v>
      </c>
      <c r="AW131" s="3" t="s">
        <v>58</v>
      </c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  <c r="BI131" s="151">
        <v>0</v>
      </c>
      <c r="BJ131" s="151">
        <v>0</v>
      </c>
      <c r="BK131" s="151"/>
      <c r="BL131" s="151"/>
      <c r="BM131" s="151"/>
      <c r="BN131" s="151"/>
      <c r="BO131" s="151"/>
      <c r="BP131" s="151"/>
      <c r="BQ131" s="151"/>
      <c r="BR131" s="151"/>
      <c r="BS131" s="151"/>
      <c r="BT131" s="151"/>
      <c r="BU131" s="151"/>
      <c r="BV131" s="151"/>
      <c r="BW131" s="151"/>
      <c r="BX131" s="151"/>
      <c r="BY131" s="151"/>
      <c r="BZ131" s="151"/>
      <c r="CA131" s="151"/>
      <c r="CB131" s="151"/>
      <c r="CC131" s="151">
        <v>0</v>
      </c>
    </row>
    <row r="132" spans="22:81" x14ac:dyDescent="0.25">
      <c r="V132" s="3" t="s">
        <v>71</v>
      </c>
      <c r="W132" s="152">
        <v>0</v>
      </c>
      <c r="X132" s="152">
        <v>0</v>
      </c>
      <c r="Y132" s="152"/>
      <c r="Z132" s="152"/>
      <c r="AA132" s="152">
        <v>0</v>
      </c>
      <c r="AB132"/>
      <c r="AC132" s="3" t="s">
        <v>94</v>
      </c>
      <c r="AD132" s="152"/>
      <c r="AE132" s="152"/>
      <c r="AF132" s="152"/>
      <c r="AG132" s="152"/>
      <c r="AH132" s="152"/>
      <c r="AI132" s="152">
        <v>0</v>
      </c>
      <c r="AJ132" s="152"/>
      <c r="AK132" s="152"/>
      <c r="AL132" s="152"/>
      <c r="AM132" s="152"/>
      <c r="AN132" s="152">
        <v>0</v>
      </c>
      <c r="AO132" s="152">
        <v>0</v>
      </c>
      <c r="AP132" s="152"/>
      <c r="AQ132" s="152"/>
      <c r="AR132" s="152"/>
      <c r="AS132" s="152"/>
      <c r="AT132" s="152"/>
      <c r="AU132" s="151">
        <v>0</v>
      </c>
      <c r="AW132" s="3" t="s">
        <v>94</v>
      </c>
      <c r="AX132" s="151"/>
      <c r="AY132" s="151">
        <v>0</v>
      </c>
      <c r="AZ132" s="151"/>
      <c r="BA132" s="151"/>
      <c r="BB132" s="151"/>
      <c r="BC132" s="151"/>
      <c r="BD132" s="151">
        <v>0</v>
      </c>
      <c r="BE132" s="151">
        <v>0</v>
      </c>
      <c r="BF132" s="151"/>
      <c r="BG132" s="151"/>
      <c r="BH132" s="151"/>
      <c r="BI132" s="151"/>
      <c r="BJ132" s="151"/>
      <c r="BK132" s="151"/>
      <c r="BL132" s="151"/>
      <c r="BM132" s="151"/>
      <c r="BN132" s="151"/>
      <c r="BO132" s="151"/>
      <c r="BP132" s="151"/>
      <c r="BQ132" s="151"/>
      <c r="BR132" s="151"/>
      <c r="BS132" s="151"/>
      <c r="BT132" s="151"/>
      <c r="BU132" s="151"/>
      <c r="BV132" s="151"/>
      <c r="BW132" s="151"/>
      <c r="BX132" s="151"/>
      <c r="BY132" s="151"/>
      <c r="BZ132" s="151"/>
      <c r="CA132" s="151"/>
      <c r="CB132" s="151"/>
      <c r="CC132" s="151">
        <v>0</v>
      </c>
    </row>
    <row r="133" spans="22:81" x14ac:dyDescent="0.25">
      <c r="V133" s="3" t="s">
        <v>54</v>
      </c>
      <c r="W133" s="152"/>
      <c r="X133" s="152">
        <v>0</v>
      </c>
      <c r="Y133" s="152"/>
      <c r="Z133" s="152"/>
      <c r="AA133" s="152">
        <v>0</v>
      </c>
      <c r="AB133"/>
      <c r="AC133" s="3" t="s">
        <v>33</v>
      </c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>
        <v>0</v>
      </c>
      <c r="AP133" s="152">
        <v>0</v>
      </c>
      <c r="AQ133" s="152">
        <v>0</v>
      </c>
      <c r="AR133" s="152">
        <v>0</v>
      </c>
      <c r="AS133" s="152"/>
      <c r="AT133" s="152">
        <v>0</v>
      </c>
      <c r="AU133" s="151">
        <v>0</v>
      </c>
      <c r="AW133" s="3" t="s">
        <v>33</v>
      </c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>
        <v>0</v>
      </c>
      <c r="BH133" s="151">
        <v>0</v>
      </c>
      <c r="BI133" s="151">
        <v>0</v>
      </c>
      <c r="BJ133" s="151">
        <v>0</v>
      </c>
      <c r="BK133" s="151"/>
      <c r="BL133" s="151">
        <v>0</v>
      </c>
      <c r="BM133" s="151"/>
      <c r="BN133" s="151"/>
      <c r="BO133" s="151"/>
      <c r="BP133" s="151"/>
      <c r="BQ133" s="151"/>
      <c r="BR133" s="151"/>
      <c r="BS133" s="151"/>
      <c r="BT133" s="151"/>
      <c r="BU133" s="151"/>
      <c r="BV133" s="151"/>
      <c r="BW133" s="151"/>
      <c r="BX133" s="151"/>
      <c r="BY133" s="151"/>
      <c r="BZ133" s="151"/>
      <c r="CA133" s="151"/>
      <c r="CB133" s="151"/>
      <c r="CC133" s="151">
        <v>0</v>
      </c>
    </row>
    <row r="134" spans="22:81" x14ac:dyDescent="0.25">
      <c r="V134" s="3" t="s">
        <v>171</v>
      </c>
      <c r="W134" s="152"/>
      <c r="X134" s="152"/>
      <c r="Y134" s="152"/>
      <c r="Z134" s="152">
        <v>0</v>
      </c>
      <c r="AA134" s="152">
        <v>0</v>
      </c>
      <c r="AB134"/>
      <c r="AC134" s="3" t="s">
        <v>195</v>
      </c>
      <c r="AD134" s="152"/>
      <c r="AE134" s="152">
        <v>0</v>
      </c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1">
        <v>0</v>
      </c>
      <c r="AW134" s="3" t="s">
        <v>195</v>
      </c>
      <c r="AX134" s="151"/>
      <c r="AY134" s="151"/>
      <c r="AZ134" s="151"/>
      <c r="BA134" s="151"/>
      <c r="BB134" s="151"/>
      <c r="BC134" s="151"/>
      <c r="BD134" s="151">
        <v>0</v>
      </c>
      <c r="BE134" s="151"/>
      <c r="BF134" s="151"/>
      <c r="BG134" s="151"/>
      <c r="BH134" s="151"/>
      <c r="BI134" s="151"/>
      <c r="BJ134" s="151"/>
      <c r="BK134" s="151"/>
      <c r="BL134" s="151"/>
      <c r="BM134" s="151"/>
      <c r="BN134" s="151"/>
      <c r="BO134" s="151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151"/>
      <c r="CA134" s="151"/>
      <c r="CB134" s="151"/>
      <c r="CC134" s="151">
        <v>0</v>
      </c>
    </row>
    <row r="135" spans="22:81" x14ac:dyDescent="0.25">
      <c r="V135" s="3" t="s">
        <v>192</v>
      </c>
      <c r="W135" s="152"/>
      <c r="X135" s="152"/>
      <c r="Y135" s="152">
        <v>0</v>
      </c>
      <c r="Z135" s="152"/>
      <c r="AA135" s="152">
        <v>0</v>
      </c>
      <c r="AB135"/>
      <c r="AC135" s="3" t="s">
        <v>115</v>
      </c>
      <c r="AD135" s="152"/>
      <c r="AE135" s="152"/>
      <c r="AF135" s="152"/>
      <c r="AG135" s="152"/>
      <c r="AH135" s="152"/>
      <c r="AI135" s="152"/>
      <c r="AJ135" s="152"/>
      <c r="AK135" s="152"/>
      <c r="AL135" s="152">
        <v>0</v>
      </c>
      <c r="AM135" s="152"/>
      <c r="AN135" s="152"/>
      <c r="AO135" s="152"/>
      <c r="AP135" s="152"/>
      <c r="AQ135" s="152"/>
      <c r="AR135" s="152"/>
      <c r="AS135" s="152"/>
      <c r="AT135" s="152"/>
      <c r="AU135" s="151">
        <v>0</v>
      </c>
      <c r="AW135" s="3" t="s">
        <v>115</v>
      </c>
      <c r="AX135" s="151"/>
      <c r="AY135" s="151"/>
      <c r="AZ135" s="151"/>
      <c r="BA135" s="151"/>
      <c r="BB135" s="151"/>
      <c r="BC135" s="151"/>
      <c r="BD135" s="151">
        <v>0</v>
      </c>
      <c r="BE135" s="151"/>
      <c r="BF135" s="151"/>
      <c r="BG135" s="151"/>
      <c r="BH135" s="151"/>
      <c r="BI135" s="151"/>
      <c r="BJ135" s="151"/>
      <c r="BK135" s="151"/>
      <c r="BL135" s="151"/>
      <c r="BM135" s="151"/>
      <c r="BN135" s="151"/>
      <c r="BO135" s="151"/>
      <c r="BP135" s="151"/>
      <c r="BQ135" s="151"/>
      <c r="BR135" s="151"/>
      <c r="BS135" s="151"/>
      <c r="BT135" s="151"/>
      <c r="BU135" s="151"/>
      <c r="BV135" s="151"/>
      <c r="BW135" s="151"/>
      <c r="BX135" s="151"/>
      <c r="BY135" s="151"/>
      <c r="BZ135" s="151"/>
      <c r="CA135" s="151"/>
      <c r="CB135" s="151"/>
      <c r="CC135" s="151">
        <v>0</v>
      </c>
    </row>
    <row r="136" spans="22:81" x14ac:dyDescent="0.25">
      <c r="V136" s="3" t="s">
        <v>409</v>
      </c>
      <c r="W136" s="152"/>
      <c r="X136" s="152"/>
      <c r="Y136" s="152"/>
      <c r="Z136" s="152">
        <v>0</v>
      </c>
      <c r="AA136" s="152">
        <v>0</v>
      </c>
      <c r="AB136"/>
      <c r="AC136" s="3" t="s">
        <v>180</v>
      </c>
      <c r="AD136" s="152"/>
      <c r="AE136" s="152"/>
      <c r="AF136" s="152">
        <v>0</v>
      </c>
      <c r="AG136" s="152">
        <v>0</v>
      </c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1">
        <v>0</v>
      </c>
      <c r="AW136" s="3" t="s">
        <v>180</v>
      </c>
      <c r="AX136" s="151">
        <v>0</v>
      </c>
      <c r="AY136" s="151">
        <v>0</v>
      </c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1"/>
      <c r="BN136" s="151"/>
      <c r="BO136" s="151"/>
      <c r="BP136" s="151"/>
      <c r="BQ136" s="151"/>
      <c r="BR136" s="151"/>
      <c r="BS136" s="151"/>
      <c r="BT136" s="151"/>
      <c r="BU136" s="151"/>
      <c r="BV136" s="151"/>
      <c r="BW136" s="151"/>
      <c r="BX136" s="151"/>
      <c r="BY136" s="151"/>
      <c r="BZ136" s="151"/>
      <c r="CA136" s="151"/>
      <c r="CB136" s="151"/>
      <c r="CC136" s="151">
        <v>0</v>
      </c>
    </row>
    <row r="137" spans="22:81" x14ac:dyDescent="0.25">
      <c r="V137" s="3" t="s">
        <v>116</v>
      </c>
      <c r="W137" s="152"/>
      <c r="X137" s="152">
        <v>0</v>
      </c>
      <c r="Y137" s="152"/>
      <c r="Z137" s="152"/>
      <c r="AA137" s="152">
        <v>0</v>
      </c>
      <c r="AB137"/>
      <c r="AC137" s="3" t="s">
        <v>202</v>
      </c>
      <c r="AD137" s="152">
        <v>0</v>
      </c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1">
        <v>0</v>
      </c>
      <c r="AW137" s="3" t="s">
        <v>202</v>
      </c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>
        <v>0</v>
      </c>
      <c r="BW137" s="151"/>
      <c r="BX137" s="151"/>
      <c r="BY137" s="151"/>
      <c r="BZ137" s="151"/>
      <c r="CA137" s="151"/>
      <c r="CB137" s="151"/>
      <c r="CC137" s="151">
        <v>0</v>
      </c>
    </row>
    <row r="138" spans="22:81" x14ac:dyDescent="0.25">
      <c r="V138" s="3" t="s">
        <v>147</v>
      </c>
      <c r="W138" s="152"/>
      <c r="X138" s="152"/>
      <c r="Y138" s="152"/>
      <c r="Z138" s="152">
        <v>0</v>
      </c>
      <c r="AA138" s="152">
        <v>0</v>
      </c>
      <c r="AB138"/>
      <c r="AC138" s="3" t="s">
        <v>77</v>
      </c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>
        <v>0</v>
      </c>
      <c r="AR138" s="152"/>
      <c r="AS138" s="152"/>
      <c r="AT138" s="152"/>
      <c r="AU138" s="151">
        <v>0</v>
      </c>
      <c r="AW138" s="3" t="s">
        <v>77</v>
      </c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1"/>
      <c r="BN138" s="151">
        <v>0</v>
      </c>
      <c r="BO138" s="151"/>
      <c r="BP138" s="151"/>
      <c r="BQ138" s="151"/>
      <c r="BR138" s="151"/>
      <c r="BS138" s="151"/>
      <c r="BT138" s="151"/>
      <c r="BU138" s="151"/>
      <c r="BV138" s="151"/>
      <c r="BW138" s="151"/>
      <c r="BX138" s="151"/>
      <c r="BY138" s="151"/>
      <c r="BZ138" s="151"/>
      <c r="CA138" s="151"/>
      <c r="CB138" s="151"/>
      <c r="CC138" s="151">
        <v>0</v>
      </c>
    </row>
    <row r="139" spans="22:81" x14ac:dyDescent="0.25">
      <c r="V139" s="3" t="s">
        <v>103</v>
      </c>
      <c r="W139" s="152">
        <v>0</v>
      </c>
      <c r="X139" s="152"/>
      <c r="Y139" s="152"/>
      <c r="Z139" s="152"/>
      <c r="AA139" s="152">
        <v>0</v>
      </c>
      <c r="AB139"/>
      <c r="AC139" s="3" t="s">
        <v>54</v>
      </c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>
        <v>0</v>
      </c>
      <c r="AT139" s="152"/>
      <c r="AU139" s="151">
        <v>0</v>
      </c>
      <c r="AW139" s="3" t="s">
        <v>54</v>
      </c>
      <c r="AX139" s="151"/>
      <c r="AY139" s="151"/>
      <c r="AZ139" s="151">
        <v>0</v>
      </c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1"/>
      <c r="BN139" s="151"/>
      <c r="BO139" s="151"/>
      <c r="BP139" s="151"/>
      <c r="BQ139" s="151"/>
      <c r="BR139" s="151"/>
      <c r="BS139" s="151"/>
      <c r="BT139" s="151"/>
      <c r="BU139" s="151"/>
      <c r="BV139" s="151"/>
      <c r="BW139" s="151"/>
      <c r="BX139" s="151"/>
      <c r="BY139" s="151"/>
      <c r="BZ139" s="151"/>
      <c r="CA139" s="151"/>
      <c r="CB139" s="151"/>
      <c r="CC139" s="151">
        <v>0</v>
      </c>
    </row>
    <row r="140" spans="22:81" x14ac:dyDescent="0.25">
      <c r="V140" s="3" t="s">
        <v>60</v>
      </c>
      <c r="W140" s="152"/>
      <c r="X140" s="152">
        <v>0</v>
      </c>
      <c r="Y140" s="152"/>
      <c r="Z140" s="152"/>
      <c r="AA140" s="152">
        <v>0</v>
      </c>
      <c r="AB140"/>
      <c r="AC140" s="3" t="s">
        <v>145</v>
      </c>
      <c r="AD140" s="152"/>
      <c r="AE140" s="152"/>
      <c r="AF140" s="152"/>
      <c r="AG140" s="152"/>
      <c r="AH140" s="152"/>
      <c r="AI140" s="152"/>
      <c r="AJ140" s="152">
        <v>0</v>
      </c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1">
        <v>0</v>
      </c>
      <c r="AW140" s="3" t="s">
        <v>145</v>
      </c>
      <c r="AX140" s="151"/>
      <c r="AY140" s="151"/>
      <c r="AZ140" s="151"/>
      <c r="BA140" s="151"/>
      <c r="BB140" s="151">
        <v>0</v>
      </c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151"/>
      <c r="BN140" s="151"/>
      <c r="BO140" s="151"/>
      <c r="BP140" s="151"/>
      <c r="BQ140" s="151"/>
      <c r="BR140" s="151"/>
      <c r="BS140" s="151"/>
      <c r="BT140" s="151"/>
      <c r="BU140" s="151"/>
      <c r="BV140" s="151"/>
      <c r="BW140" s="151"/>
      <c r="BX140" s="151"/>
      <c r="BY140" s="151"/>
      <c r="BZ140" s="151"/>
      <c r="CA140" s="151"/>
      <c r="CB140" s="151"/>
      <c r="CC140" s="151">
        <v>0</v>
      </c>
    </row>
    <row r="141" spans="22:81" x14ac:dyDescent="0.25">
      <c r="V141" s="3" t="s">
        <v>35</v>
      </c>
      <c r="W141" s="152"/>
      <c r="X141" s="152">
        <v>0</v>
      </c>
      <c r="Y141" s="152"/>
      <c r="Z141" s="152">
        <v>0</v>
      </c>
      <c r="AA141" s="152">
        <v>0</v>
      </c>
      <c r="AB141"/>
      <c r="AC141" s="3" t="s">
        <v>164</v>
      </c>
      <c r="AD141" s="152"/>
      <c r="AE141" s="152"/>
      <c r="AF141" s="152"/>
      <c r="AG141" s="152">
        <v>0</v>
      </c>
      <c r="AH141" s="152">
        <v>0</v>
      </c>
      <c r="AI141" s="152">
        <v>0</v>
      </c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1">
        <v>0</v>
      </c>
      <c r="AW141" s="3" t="s">
        <v>164</v>
      </c>
      <c r="AX141" s="151"/>
      <c r="AY141" s="151"/>
      <c r="AZ141" s="151">
        <v>0</v>
      </c>
      <c r="BA141" s="151">
        <v>0</v>
      </c>
      <c r="BB141" s="151">
        <v>0</v>
      </c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151"/>
      <c r="BN141" s="151"/>
      <c r="BO141" s="151"/>
      <c r="BP141" s="151"/>
      <c r="BQ141" s="151"/>
      <c r="BR141" s="151"/>
      <c r="BS141" s="151"/>
      <c r="BT141" s="151"/>
      <c r="BU141" s="151"/>
      <c r="BV141" s="151"/>
      <c r="BW141" s="151"/>
      <c r="BX141" s="151"/>
      <c r="BY141" s="151"/>
      <c r="BZ141" s="151"/>
      <c r="CA141" s="151"/>
      <c r="CB141" s="151"/>
      <c r="CC141" s="151">
        <v>0</v>
      </c>
    </row>
    <row r="142" spans="22:81" x14ac:dyDescent="0.25">
      <c r="V142" s="3" t="s">
        <v>37</v>
      </c>
      <c r="W142" s="152"/>
      <c r="X142" s="152">
        <v>0</v>
      </c>
      <c r="Y142" s="152"/>
      <c r="Z142" s="152">
        <v>0</v>
      </c>
      <c r="AA142" s="152">
        <v>0</v>
      </c>
      <c r="AB142"/>
      <c r="AC142" s="3" t="s">
        <v>199</v>
      </c>
      <c r="AD142" s="152">
        <v>0</v>
      </c>
      <c r="AE142" s="152">
        <v>0</v>
      </c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2"/>
      <c r="AQ142" s="152"/>
      <c r="AR142" s="152"/>
      <c r="AS142" s="152"/>
      <c r="AT142" s="152"/>
      <c r="AU142" s="151">
        <v>0</v>
      </c>
      <c r="AW142" s="3" t="s">
        <v>199</v>
      </c>
      <c r="AX142" s="151"/>
      <c r="AY142" s="151"/>
      <c r="AZ142" s="151"/>
      <c r="BA142" s="151"/>
      <c r="BB142" s="151"/>
      <c r="BC142" s="151">
        <v>0</v>
      </c>
      <c r="BD142" s="151">
        <v>0</v>
      </c>
      <c r="BE142" s="151"/>
      <c r="BF142" s="151"/>
      <c r="BG142" s="151"/>
      <c r="BH142" s="151"/>
      <c r="BI142" s="151"/>
      <c r="BJ142" s="151"/>
      <c r="BK142" s="151"/>
      <c r="BL142" s="151"/>
      <c r="BM142" s="151"/>
      <c r="BN142" s="151"/>
      <c r="BO142" s="151"/>
      <c r="BP142" s="151"/>
      <c r="BQ142" s="151"/>
      <c r="BR142" s="151"/>
      <c r="BS142" s="151"/>
      <c r="BT142" s="151"/>
      <c r="BU142" s="151"/>
      <c r="BV142" s="151"/>
      <c r="BW142" s="151"/>
      <c r="BX142" s="151"/>
      <c r="BY142" s="151"/>
      <c r="BZ142" s="151"/>
      <c r="CA142" s="151"/>
      <c r="CB142" s="151"/>
      <c r="CC142" s="151">
        <v>0</v>
      </c>
    </row>
    <row r="143" spans="22:81" x14ac:dyDescent="0.25">
      <c r="V143" s="3" t="s">
        <v>92</v>
      </c>
      <c r="W143" s="152"/>
      <c r="X143" s="152">
        <v>0</v>
      </c>
      <c r="Y143" s="152"/>
      <c r="Z143" s="152"/>
      <c r="AA143" s="152">
        <v>0</v>
      </c>
      <c r="AB143"/>
      <c r="AC143" s="3" t="s">
        <v>116</v>
      </c>
      <c r="AD143" s="152"/>
      <c r="AE143" s="152"/>
      <c r="AF143" s="152"/>
      <c r="AG143" s="152"/>
      <c r="AH143" s="152"/>
      <c r="AI143" s="152"/>
      <c r="AJ143" s="152"/>
      <c r="AK143" s="152"/>
      <c r="AL143" s="152">
        <v>0</v>
      </c>
      <c r="AM143" s="152"/>
      <c r="AN143" s="152"/>
      <c r="AO143" s="152"/>
      <c r="AP143" s="152"/>
      <c r="AQ143" s="152"/>
      <c r="AR143" s="152"/>
      <c r="AS143" s="152"/>
      <c r="AT143" s="152"/>
      <c r="AU143" s="151">
        <v>0</v>
      </c>
      <c r="AW143" s="3" t="s">
        <v>116</v>
      </c>
      <c r="AX143" s="151"/>
      <c r="AY143" s="151"/>
      <c r="AZ143" s="151"/>
      <c r="BA143" s="151"/>
      <c r="BB143" s="151"/>
      <c r="BC143" s="151"/>
      <c r="BD143" s="151">
        <v>0</v>
      </c>
      <c r="BE143" s="151"/>
      <c r="BF143" s="151"/>
      <c r="BG143" s="151"/>
      <c r="BH143" s="151"/>
      <c r="BI143" s="151"/>
      <c r="BJ143" s="151"/>
      <c r="BK143" s="151"/>
      <c r="BL143" s="151"/>
      <c r="BM143" s="151"/>
      <c r="BN143" s="151"/>
      <c r="BO143" s="151"/>
      <c r="BP143" s="151"/>
      <c r="BQ143" s="151"/>
      <c r="BR143" s="151"/>
      <c r="BS143" s="151"/>
      <c r="BT143" s="151"/>
      <c r="BU143" s="151"/>
      <c r="BV143" s="151"/>
      <c r="BW143" s="151"/>
      <c r="BX143" s="151"/>
      <c r="BY143" s="151"/>
      <c r="BZ143" s="151"/>
      <c r="CA143" s="151"/>
      <c r="CB143" s="151"/>
      <c r="CC143" s="151">
        <v>0</v>
      </c>
    </row>
    <row r="144" spans="22:81" x14ac:dyDescent="0.25">
      <c r="V144" s="3" t="s">
        <v>144</v>
      </c>
      <c r="W144" s="152"/>
      <c r="X144" s="152"/>
      <c r="Y144" s="152"/>
      <c r="Z144" s="152">
        <v>0</v>
      </c>
      <c r="AA144" s="152">
        <v>0</v>
      </c>
      <c r="AB144"/>
      <c r="AC144" s="3" t="s">
        <v>160</v>
      </c>
      <c r="AD144" s="152"/>
      <c r="AE144" s="152"/>
      <c r="AF144" s="152"/>
      <c r="AG144" s="152"/>
      <c r="AH144" s="152"/>
      <c r="AI144" s="152">
        <v>0</v>
      </c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1">
        <v>0</v>
      </c>
      <c r="AW144" s="3" t="s">
        <v>160</v>
      </c>
      <c r="AX144" s="151"/>
      <c r="AY144" s="151"/>
      <c r="AZ144" s="151">
        <v>0</v>
      </c>
      <c r="BA144" s="151"/>
      <c r="BB144" s="151"/>
      <c r="BC144" s="151"/>
      <c r="BD144" s="151"/>
      <c r="BE144" s="151"/>
      <c r="BF144" s="151"/>
      <c r="BG144" s="151"/>
      <c r="BH144" s="151"/>
      <c r="BI144" s="151"/>
      <c r="BJ144" s="151"/>
      <c r="BK144" s="151"/>
      <c r="BL144" s="151"/>
      <c r="BM144" s="151"/>
      <c r="BN144" s="151"/>
      <c r="BO144" s="151"/>
      <c r="BP144" s="151"/>
      <c r="BQ144" s="151"/>
      <c r="BR144" s="151"/>
      <c r="BS144" s="151"/>
      <c r="BT144" s="151"/>
      <c r="BU144" s="151"/>
      <c r="BV144" s="151"/>
      <c r="BW144" s="151"/>
      <c r="BX144" s="151"/>
      <c r="BY144" s="151"/>
      <c r="BZ144" s="151"/>
      <c r="CA144" s="151"/>
      <c r="CB144" s="151"/>
      <c r="CC144" s="151">
        <v>0</v>
      </c>
    </row>
    <row r="145" spans="22:81" x14ac:dyDescent="0.25">
      <c r="V145" s="3" t="s">
        <v>65</v>
      </c>
      <c r="W145" s="152"/>
      <c r="X145" s="152">
        <v>0</v>
      </c>
      <c r="Y145" s="152"/>
      <c r="Z145" s="152"/>
      <c r="AA145" s="152">
        <v>0</v>
      </c>
      <c r="AB145"/>
      <c r="AC145" s="3" t="s">
        <v>35</v>
      </c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>
        <v>0</v>
      </c>
      <c r="AT145" s="152">
        <v>0</v>
      </c>
      <c r="AU145" s="151">
        <v>0</v>
      </c>
      <c r="AW145" s="3" t="s">
        <v>35</v>
      </c>
      <c r="AX145" s="151"/>
      <c r="AY145" s="151"/>
      <c r="AZ145" s="151">
        <v>0</v>
      </c>
      <c r="BA145" s="151">
        <v>0</v>
      </c>
      <c r="BB145" s="151"/>
      <c r="BC145" s="151"/>
      <c r="BD145" s="151"/>
      <c r="BE145" s="151"/>
      <c r="BF145" s="151"/>
      <c r="BG145" s="151"/>
      <c r="BH145" s="151"/>
      <c r="BI145" s="151"/>
      <c r="BJ145" s="151"/>
      <c r="BK145" s="151"/>
      <c r="BL145" s="151"/>
      <c r="BM145" s="151"/>
      <c r="BN145" s="151"/>
      <c r="BO145" s="151"/>
      <c r="BP145" s="151"/>
      <c r="BQ145" s="151"/>
      <c r="BR145" s="151"/>
      <c r="BS145" s="151"/>
      <c r="BT145" s="151"/>
      <c r="BU145" s="151"/>
      <c r="BV145" s="151"/>
      <c r="BW145" s="151"/>
      <c r="BX145" s="151"/>
      <c r="BY145" s="151"/>
      <c r="BZ145" s="151"/>
      <c r="CA145" s="151"/>
      <c r="CB145" s="151"/>
      <c r="CC145" s="151">
        <v>0</v>
      </c>
    </row>
    <row r="146" spans="22:81" x14ac:dyDescent="0.25">
      <c r="V146" s="3" t="s">
        <v>201</v>
      </c>
      <c r="W146" s="152"/>
      <c r="X146" s="152"/>
      <c r="Y146" s="152">
        <v>0</v>
      </c>
      <c r="Z146" s="152"/>
      <c r="AA146" s="152">
        <v>0</v>
      </c>
      <c r="AB146"/>
      <c r="AC146" s="3" t="s">
        <v>182</v>
      </c>
      <c r="AD146" s="152"/>
      <c r="AE146" s="152"/>
      <c r="AF146" s="152">
        <v>0</v>
      </c>
      <c r="AG146" s="152"/>
      <c r="AH146" s="152"/>
      <c r="AI146" s="152"/>
      <c r="AJ146" s="152"/>
      <c r="AK146" s="152"/>
      <c r="AL146" s="152"/>
      <c r="AM146" s="152"/>
      <c r="AN146" s="152"/>
      <c r="AO146" s="152"/>
      <c r="AP146" s="152"/>
      <c r="AQ146" s="152"/>
      <c r="AR146" s="152"/>
      <c r="AS146" s="152"/>
      <c r="AT146" s="152"/>
      <c r="AU146" s="151">
        <v>0</v>
      </c>
      <c r="AW146" s="3" t="s">
        <v>182</v>
      </c>
      <c r="AX146" s="151"/>
      <c r="AY146" s="151"/>
      <c r="AZ146" s="151"/>
      <c r="BA146" s="151">
        <v>0</v>
      </c>
      <c r="BB146" s="151"/>
      <c r="BC146" s="151"/>
      <c r="BD146" s="151"/>
      <c r="BE146" s="151"/>
      <c r="BF146" s="151"/>
      <c r="BG146" s="151"/>
      <c r="BH146" s="151"/>
      <c r="BI146" s="151"/>
      <c r="BJ146" s="151"/>
      <c r="BK146" s="151"/>
      <c r="BL146" s="151"/>
      <c r="BM146" s="151"/>
      <c r="BN146" s="151"/>
      <c r="BO146" s="151"/>
      <c r="BP146" s="151"/>
      <c r="BQ146" s="151"/>
      <c r="BR146" s="151"/>
      <c r="BS146" s="151"/>
      <c r="BT146" s="151"/>
      <c r="BU146" s="151"/>
      <c r="BV146" s="151"/>
      <c r="BW146" s="151"/>
      <c r="BX146" s="151"/>
      <c r="BY146" s="151"/>
      <c r="BZ146" s="151"/>
      <c r="CA146" s="151"/>
      <c r="CB146" s="151"/>
      <c r="CC146" s="151">
        <v>0</v>
      </c>
    </row>
    <row r="147" spans="22:81" x14ac:dyDescent="0.25">
      <c r="V147" s="3" t="s">
        <v>166</v>
      </c>
      <c r="W147" s="152"/>
      <c r="X147" s="152"/>
      <c r="Y147" s="152"/>
      <c r="Z147" s="152">
        <v>0</v>
      </c>
      <c r="AA147" s="152">
        <v>0</v>
      </c>
      <c r="AB147"/>
      <c r="AC147" s="3" t="s">
        <v>92</v>
      </c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>
        <v>0</v>
      </c>
      <c r="AQ147" s="152"/>
      <c r="AR147" s="152"/>
      <c r="AS147" s="152"/>
      <c r="AT147" s="152"/>
      <c r="AU147" s="151">
        <v>0</v>
      </c>
      <c r="AW147" s="3" t="s">
        <v>92</v>
      </c>
      <c r="AX147" s="151"/>
      <c r="AY147" s="151"/>
      <c r="AZ147" s="151"/>
      <c r="BA147" s="151"/>
      <c r="BB147" s="151"/>
      <c r="BC147" s="151">
        <v>0</v>
      </c>
      <c r="BD147" s="151"/>
      <c r="BE147" s="151"/>
      <c r="BF147" s="151"/>
      <c r="BG147" s="151"/>
      <c r="BH147" s="151"/>
      <c r="BI147" s="151"/>
      <c r="BJ147" s="151"/>
      <c r="BK147" s="151"/>
      <c r="BL147" s="151"/>
      <c r="BM147" s="151"/>
      <c r="BN147" s="151"/>
      <c r="BO147" s="151"/>
      <c r="BP147" s="151"/>
      <c r="BQ147" s="151"/>
      <c r="BR147" s="151"/>
      <c r="BS147" s="151"/>
      <c r="BT147" s="151"/>
      <c r="BU147" s="151"/>
      <c r="BV147" s="151"/>
      <c r="BW147" s="151"/>
      <c r="BX147" s="151"/>
      <c r="BY147" s="151"/>
      <c r="BZ147" s="151"/>
      <c r="CA147" s="151"/>
      <c r="CB147" s="151"/>
      <c r="CC147" s="151">
        <v>0</v>
      </c>
    </row>
    <row r="148" spans="22:81" x14ac:dyDescent="0.25">
      <c r="V148" s="3" t="s">
        <v>156</v>
      </c>
      <c r="W148" s="152"/>
      <c r="X148" s="152"/>
      <c r="Y148" s="152"/>
      <c r="Z148" s="152">
        <v>0</v>
      </c>
      <c r="AA148" s="152">
        <v>0</v>
      </c>
      <c r="AB148"/>
      <c r="AC148" s="3" t="s">
        <v>68</v>
      </c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>
        <v>0</v>
      </c>
      <c r="AS148" s="152"/>
      <c r="AT148" s="152"/>
      <c r="AU148" s="151">
        <v>0</v>
      </c>
      <c r="AW148" s="3" t="s">
        <v>68</v>
      </c>
      <c r="AX148" s="151"/>
      <c r="AY148" s="151"/>
      <c r="AZ148" s="151"/>
      <c r="BA148" s="151"/>
      <c r="BB148" s="151"/>
      <c r="BC148" s="151">
        <v>0</v>
      </c>
      <c r="BD148" s="151"/>
      <c r="BE148" s="151"/>
      <c r="BF148" s="151"/>
      <c r="BG148" s="151"/>
      <c r="BH148" s="151"/>
      <c r="BI148" s="151"/>
      <c r="BJ148" s="151"/>
      <c r="BK148" s="151"/>
      <c r="BL148" s="151"/>
      <c r="BM148" s="151"/>
      <c r="BN148" s="151"/>
      <c r="BO148" s="151"/>
      <c r="BP148" s="151"/>
      <c r="BQ148" s="151"/>
      <c r="BR148" s="151"/>
      <c r="BS148" s="151"/>
      <c r="BT148" s="151"/>
      <c r="BU148" s="151"/>
      <c r="BV148" s="151"/>
      <c r="BW148" s="151"/>
      <c r="BX148" s="151"/>
      <c r="BY148" s="151"/>
      <c r="BZ148" s="151"/>
      <c r="CA148" s="151"/>
      <c r="CB148" s="151"/>
      <c r="CC148" s="151">
        <v>0</v>
      </c>
    </row>
    <row r="149" spans="22:81" x14ac:dyDescent="0.25">
      <c r="V149" s="3" t="s">
        <v>161</v>
      </c>
      <c r="W149" s="152"/>
      <c r="X149" s="152"/>
      <c r="Y149" s="152"/>
      <c r="Z149" s="152">
        <v>0</v>
      </c>
      <c r="AA149" s="152">
        <v>0</v>
      </c>
      <c r="AB149"/>
      <c r="AC149" s="3" t="s">
        <v>65</v>
      </c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>
        <v>0</v>
      </c>
      <c r="AR149" s="152">
        <v>0</v>
      </c>
      <c r="AS149" s="152"/>
      <c r="AT149" s="152"/>
      <c r="AU149" s="151">
        <v>0</v>
      </c>
      <c r="AW149" s="3" t="s">
        <v>65</v>
      </c>
      <c r="AX149" s="151"/>
      <c r="AY149" s="151"/>
      <c r="AZ149" s="151">
        <v>0</v>
      </c>
      <c r="BA149" s="151">
        <v>0</v>
      </c>
      <c r="BB149" s="151"/>
      <c r="BC149" s="151"/>
      <c r="BD149" s="151"/>
      <c r="BE149" s="151"/>
      <c r="BF149" s="151"/>
      <c r="BG149" s="151"/>
      <c r="BH149" s="151"/>
      <c r="BI149" s="151"/>
      <c r="BJ149" s="151"/>
      <c r="BK149" s="151"/>
      <c r="BL149" s="151"/>
      <c r="BM149" s="151"/>
      <c r="BN149" s="151"/>
      <c r="BO149" s="151"/>
      <c r="BP149" s="151"/>
      <c r="BQ149" s="151"/>
      <c r="BR149" s="151"/>
      <c r="BS149" s="151"/>
      <c r="BT149" s="151"/>
      <c r="BU149" s="151"/>
      <c r="BV149" s="151"/>
      <c r="BW149" s="151"/>
      <c r="BX149" s="151"/>
      <c r="BY149" s="151"/>
      <c r="BZ149" s="151"/>
      <c r="CA149" s="151"/>
      <c r="CB149" s="151"/>
      <c r="CC149" s="151">
        <v>0</v>
      </c>
    </row>
    <row r="150" spans="22:81" x14ac:dyDescent="0.25">
      <c r="V150" s="3" t="s">
        <v>128</v>
      </c>
      <c r="W150" s="152"/>
      <c r="X150" s="152"/>
      <c r="Y150" s="152">
        <v>0</v>
      </c>
      <c r="Z150" s="152"/>
      <c r="AA150" s="152">
        <v>0</v>
      </c>
      <c r="AB150"/>
      <c r="AC150" s="3" t="s">
        <v>201</v>
      </c>
      <c r="AD150" s="152">
        <v>0</v>
      </c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1">
        <v>0</v>
      </c>
      <c r="AW150" s="3" t="s">
        <v>201</v>
      </c>
      <c r="AX150" s="151"/>
      <c r="AY150" s="151"/>
      <c r="AZ150" s="151"/>
      <c r="BA150" s="151"/>
      <c r="BB150" s="151"/>
      <c r="BC150" s="151">
        <v>0</v>
      </c>
      <c r="BD150" s="151"/>
      <c r="BE150" s="151"/>
      <c r="BF150" s="151"/>
      <c r="BG150" s="151"/>
      <c r="BH150" s="151"/>
      <c r="BI150" s="151"/>
      <c r="BJ150" s="151"/>
      <c r="BK150" s="151"/>
      <c r="BL150" s="151"/>
      <c r="BM150" s="151"/>
      <c r="BN150" s="151"/>
      <c r="BO150" s="151"/>
      <c r="BP150" s="151"/>
      <c r="BQ150" s="151"/>
      <c r="BR150" s="151"/>
      <c r="BS150" s="151"/>
      <c r="BT150" s="151"/>
      <c r="BU150" s="151"/>
      <c r="BV150" s="151"/>
      <c r="BW150" s="151"/>
      <c r="BX150" s="151"/>
      <c r="BY150" s="151"/>
      <c r="BZ150" s="151"/>
      <c r="CA150" s="151"/>
      <c r="CB150" s="151"/>
      <c r="CC150" s="151">
        <v>0</v>
      </c>
    </row>
    <row r="151" spans="22:81" x14ac:dyDescent="0.25">
      <c r="V151" s="3" t="s">
        <v>174</v>
      </c>
      <c r="W151" s="152"/>
      <c r="X151" s="152"/>
      <c r="Y151" s="152"/>
      <c r="Z151" s="152">
        <v>0</v>
      </c>
      <c r="AA151" s="152">
        <v>0</v>
      </c>
      <c r="AB151"/>
      <c r="AC151" s="3" t="s">
        <v>166</v>
      </c>
      <c r="AD151" s="152"/>
      <c r="AE151" s="152"/>
      <c r="AF151" s="152"/>
      <c r="AG151" s="152"/>
      <c r="AH151" s="152"/>
      <c r="AI151" s="152">
        <v>0</v>
      </c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1">
        <v>0</v>
      </c>
      <c r="AW151" s="3" t="s">
        <v>166</v>
      </c>
      <c r="AX151" s="151"/>
      <c r="AY151" s="151"/>
      <c r="AZ151" s="151">
        <v>0</v>
      </c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1"/>
      <c r="BN151" s="151"/>
      <c r="BO151" s="151"/>
      <c r="BP151" s="151"/>
      <c r="BQ151" s="151"/>
      <c r="BR151" s="151"/>
      <c r="BS151" s="151"/>
      <c r="BT151" s="151"/>
      <c r="BU151" s="151"/>
      <c r="BV151" s="151"/>
      <c r="BW151" s="151"/>
      <c r="BX151" s="151"/>
      <c r="BY151" s="151"/>
      <c r="BZ151" s="151"/>
      <c r="CA151" s="151"/>
      <c r="CB151" s="151"/>
      <c r="CC151" s="151">
        <v>0</v>
      </c>
    </row>
    <row r="152" spans="22:81" x14ac:dyDescent="0.25">
      <c r="V152" s="3" t="s">
        <v>195</v>
      </c>
      <c r="W152" s="152"/>
      <c r="X152" s="152"/>
      <c r="Y152" s="152">
        <v>0</v>
      </c>
      <c r="Z152" s="152"/>
      <c r="AA152" s="152">
        <v>0</v>
      </c>
      <c r="AB152"/>
      <c r="AC152" s="3" t="s">
        <v>179</v>
      </c>
      <c r="AD152" s="152"/>
      <c r="AE152" s="152"/>
      <c r="AF152" s="152"/>
      <c r="AG152" s="152">
        <v>0</v>
      </c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1">
        <v>0</v>
      </c>
      <c r="AW152" s="3" t="s">
        <v>179</v>
      </c>
      <c r="AX152" s="151"/>
      <c r="AY152" s="151"/>
      <c r="AZ152" s="151"/>
      <c r="BA152" s="151"/>
      <c r="BB152" s="151">
        <v>0</v>
      </c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1"/>
      <c r="BN152" s="151"/>
      <c r="BO152" s="151"/>
      <c r="BP152" s="151"/>
      <c r="BQ152" s="151"/>
      <c r="BR152" s="151"/>
      <c r="BS152" s="151"/>
      <c r="BT152" s="151"/>
      <c r="BU152" s="151"/>
      <c r="BV152" s="151"/>
      <c r="BW152" s="151"/>
      <c r="BX152" s="151"/>
      <c r="BY152" s="151"/>
      <c r="BZ152" s="151"/>
      <c r="CA152" s="151"/>
      <c r="CB152" s="151"/>
      <c r="CC152" s="151">
        <v>0</v>
      </c>
    </row>
    <row r="153" spans="22:81" x14ac:dyDescent="0.25">
      <c r="V153" s="3" t="s">
        <v>91</v>
      </c>
      <c r="W153" s="152"/>
      <c r="X153" s="152">
        <v>0</v>
      </c>
      <c r="Y153" s="152"/>
      <c r="Z153" s="152"/>
      <c r="AA153" s="152">
        <v>0</v>
      </c>
      <c r="AB153"/>
      <c r="AC153" s="3" t="s">
        <v>163</v>
      </c>
      <c r="AD153" s="152"/>
      <c r="AE153" s="152"/>
      <c r="AF153" s="152"/>
      <c r="AG153" s="152"/>
      <c r="AH153" s="152"/>
      <c r="AI153" s="152">
        <v>0</v>
      </c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1">
        <v>0</v>
      </c>
      <c r="AW153" s="3" t="s">
        <v>163</v>
      </c>
      <c r="AX153" s="151"/>
      <c r="AY153" s="151"/>
      <c r="AZ153" s="151">
        <v>0</v>
      </c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1"/>
      <c r="BN153" s="151"/>
      <c r="BO153" s="151"/>
      <c r="BP153" s="151"/>
      <c r="BQ153" s="151"/>
      <c r="BR153" s="151"/>
      <c r="BS153" s="151"/>
      <c r="BT153" s="151"/>
      <c r="BU153" s="151"/>
      <c r="BV153" s="151"/>
      <c r="BW153" s="151"/>
      <c r="BX153" s="151"/>
      <c r="BY153" s="151"/>
      <c r="BZ153" s="151"/>
      <c r="CA153" s="151"/>
      <c r="CB153" s="151"/>
      <c r="CC153" s="151">
        <v>0</v>
      </c>
    </row>
    <row r="154" spans="22:81" x14ac:dyDescent="0.25">
      <c r="V154" s="3" t="s">
        <v>143</v>
      </c>
      <c r="W154" s="152"/>
      <c r="X154" s="152"/>
      <c r="Y154" s="152"/>
      <c r="Z154" s="152">
        <v>0</v>
      </c>
      <c r="AA154" s="152">
        <v>0</v>
      </c>
      <c r="AB154"/>
      <c r="AC154" s="3" t="s">
        <v>156</v>
      </c>
      <c r="AD154" s="152"/>
      <c r="AE154" s="152"/>
      <c r="AF154" s="152"/>
      <c r="AG154" s="152">
        <v>0</v>
      </c>
      <c r="AH154" s="152">
        <v>0</v>
      </c>
      <c r="AI154" s="152">
        <v>0</v>
      </c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1">
        <v>0</v>
      </c>
      <c r="AW154" s="3" t="s">
        <v>156</v>
      </c>
      <c r="AX154" s="151"/>
      <c r="AY154" s="151">
        <v>0</v>
      </c>
      <c r="AZ154" s="151">
        <v>0</v>
      </c>
      <c r="BA154" s="151">
        <v>0</v>
      </c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1"/>
      <c r="BN154" s="151"/>
      <c r="BO154" s="151"/>
      <c r="BP154" s="151"/>
      <c r="BQ154" s="151"/>
      <c r="BR154" s="151"/>
      <c r="BS154" s="151"/>
      <c r="BT154" s="151"/>
      <c r="BU154" s="151"/>
      <c r="BV154" s="151"/>
      <c r="BW154" s="151"/>
      <c r="BX154" s="151"/>
      <c r="BY154" s="151"/>
      <c r="BZ154" s="151"/>
      <c r="CA154" s="151"/>
      <c r="CB154" s="151"/>
      <c r="CC154" s="151">
        <v>0</v>
      </c>
    </row>
    <row r="155" spans="22:81" x14ac:dyDescent="0.25">
      <c r="V155" s="3" t="s">
        <v>41</v>
      </c>
      <c r="W155" s="152"/>
      <c r="X155" s="152">
        <v>0</v>
      </c>
      <c r="Y155" s="152"/>
      <c r="Z155" s="152">
        <v>0</v>
      </c>
      <c r="AA155" s="152">
        <v>0</v>
      </c>
      <c r="AB155"/>
      <c r="AC155" s="3" t="s">
        <v>174</v>
      </c>
      <c r="AD155" s="152"/>
      <c r="AE155" s="152"/>
      <c r="AF155" s="152"/>
      <c r="AG155" s="152"/>
      <c r="AH155" s="152">
        <v>0</v>
      </c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1">
        <v>0</v>
      </c>
      <c r="AW155" s="3" t="s">
        <v>174</v>
      </c>
      <c r="AX155" s="151"/>
      <c r="AY155" s="151"/>
      <c r="AZ155" s="151"/>
      <c r="BA155" s="151"/>
      <c r="BB155" s="151"/>
      <c r="BC155" s="151"/>
      <c r="BD155" s="151"/>
      <c r="BE155" s="151">
        <v>0</v>
      </c>
      <c r="BF155" s="151"/>
      <c r="BG155" s="151"/>
      <c r="BH155" s="151"/>
      <c r="BI155" s="151"/>
      <c r="BJ155" s="151"/>
      <c r="BK155" s="151"/>
      <c r="BL155" s="151"/>
      <c r="BM155" s="151"/>
      <c r="BN155" s="151"/>
      <c r="BO155" s="151"/>
      <c r="BP155" s="151"/>
      <c r="BQ155" s="151"/>
      <c r="BR155" s="151"/>
      <c r="BS155" s="151"/>
      <c r="BT155" s="151"/>
      <c r="BU155" s="151"/>
      <c r="BV155" s="151"/>
      <c r="BW155" s="151"/>
      <c r="BX155" s="151"/>
      <c r="BY155" s="151"/>
      <c r="BZ155" s="151"/>
      <c r="CA155" s="151"/>
      <c r="CB155" s="151"/>
      <c r="CC155" s="151">
        <v>0</v>
      </c>
    </row>
    <row r="156" spans="22:81" x14ac:dyDescent="0.25">
      <c r="V156" s="3" t="s">
        <v>44</v>
      </c>
      <c r="W156" s="152"/>
      <c r="X156" s="152">
        <v>0</v>
      </c>
      <c r="Y156" s="152"/>
      <c r="Z156" s="152"/>
      <c r="AA156" s="152">
        <v>0</v>
      </c>
      <c r="AB156"/>
      <c r="AC156" s="3" t="s">
        <v>192</v>
      </c>
      <c r="AD156" s="152"/>
      <c r="AE156" s="152">
        <v>0</v>
      </c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1">
        <v>0</v>
      </c>
      <c r="AW156" s="3" t="s">
        <v>192</v>
      </c>
      <c r="AX156" s="151"/>
      <c r="AY156" s="151"/>
      <c r="AZ156" s="151"/>
      <c r="BA156" s="151"/>
      <c r="BB156" s="151"/>
      <c r="BC156" s="151">
        <v>0</v>
      </c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1"/>
      <c r="BN156" s="151"/>
      <c r="BO156" s="151"/>
      <c r="BP156" s="151"/>
      <c r="BQ156" s="151"/>
      <c r="BR156" s="151"/>
      <c r="BS156" s="151"/>
      <c r="BT156" s="151"/>
      <c r="BU156" s="151"/>
      <c r="BV156" s="151"/>
      <c r="BW156" s="151"/>
      <c r="BX156" s="151"/>
      <c r="BY156" s="151"/>
      <c r="BZ156" s="151"/>
      <c r="CA156" s="151"/>
      <c r="CB156" s="151"/>
      <c r="CC156" s="151">
        <v>0</v>
      </c>
    </row>
    <row r="157" spans="22:81" x14ac:dyDescent="0.25">
      <c r="V157" s="3" t="s">
        <v>212</v>
      </c>
      <c r="W157" s="152"/>
      <c r="X157" s="152"/>
      <c r="Y157" s="152"/>
      <c r="Z157" s="152"/>
      <c r="AA157" s="152"/>
      <c r="AB157"/>
      <c r="AC157" s="3" t="s">
        <v>103</v>
      </c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>
        <v>0</v>
      </c>
      <c r="AO157" s="152"/>
      <c r="AP157" s="152"/>
      <c r="AQ157" s="152"/>
      <c r="AR157" s="152"/>
      <c r="AS157" s="152"/>
      <c r="AT157" s="152"/>
      <c r="AU157" s="151">
        <v>0</v>
      </c>
      <c r="AW157" s="3" t="s">
        <v>103</v>
      </c>
      <c r="AX157" s="151"/>
      <c r="AY157" s="151"/>
      <c r="AZ157" s="151">
        <v>0</v>
      </c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1"/>
      <c r="BN157" s="151"/>
      <c r="BO157" s="151"/>
      <c r="BP157" s="151"/>
      <c r="BQ157" s="151"/>
      <c r="BR157" s="151"/>
      <c r="BS157" s="151"/>
      <c r="BT157" s="151"/>
      <c r="BU157" s="151"/>
      <c r="BV157" s="151"/>
      <c r="BW157" s="151"/>
      <c r="BX157" s="151"/>
      <c r="BY157" s="151"/>
      <c r="BZ157" s="151"/>
      <c r="CA157" s="151"/>
      <c r="CB157" s="151"/>
      <c r="CC157" s="151">
        <v>0</v>
      </c>
    </row>
    <row r="158" spans="22:81" x14ac:dyDescent="0.25">
      <c r="V158" s="3" t="s">
        <v>196</v>
      </c>
      <c r="W158" s="152"/>
      <c r="X158" s="152"/>
      <c r="Y158" s="152">
        <v>0</v>
      </c>
      <c r="Z158" s="152"/>
      <c r="AA158" s="152">
        <v>0</v>
      </c>
      <c r="AB158"/>
      <c r="AC158" s="3" t="s">
        <v>44</v>
      </c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>
        <v>0</v>
      </c>
      <c r="AT158" s="152"/>
      <c r="AU158" s="151">
        <v>0</v>
      </c>
      <c r="AW158" s="3" t="s">
        <v>44</v>
      </c>
      <c r="AX158" s="151"/>
      <c r="AY158" s="151"/>
      <c r="AZ158" s="151"/>
      <c r="BA158" s="151"/>
      <c r="BB158" s="151"/>
      <c r="BC158" s="151"/>
      <c r="BD158" s="151">
        <v>0</v>
      </c>
      <c r="BE158" s="151"/>
      <c r="BF158" s="151"/>
      <c r="BG158" s="151"/>
      <c r="BH158" s="151"/>
      <c r="BI158" s="151"/>
      <c r="BJ158" s="151"/>
      <c r="BK158" s="151"/>
      <c r="BL158" s="151"/>
      <c r="BM158" s="151"/>
      <c r="BN158" s="151"/>
      <c r="BO158" s="151"/>
      <c r="BP158" s="151"/>
      <c r="BQ158" s="151"/>
      <c r="BR158" s="151"/>
      <c r="BS158" s="151"/>
      <c r="BT158" s="151"/>
      <c r="BU158" s="151"/>
      <c r="BV158" s="151"/>
      <c r="BW158" s="151"/>
      <c r="BX158" s="151"/>
      <c r="BY158" s="151"/>
      <c r="BZ158" s="151"/>
      <c r="CA158" s="151"/>
      <c r="CB158" s="151"/>
      <c r="CC158" s="151">
        <v>0</v>
      </c>
    </row>
    <row r="159" spans="22:81" x14ac:dyDescent="0.25">
      <c r="V159" s="3" t="s">
        <v>203</v>
      </c>
      <c r="W159" s="152"/>
      <c r="X159" s="152"/>
      <c r="Y159" s="152">
        <v>0</v>
      </c>
      <c r="Z159" s="152"/>
      <c r="AA159" s="152">
        <v>0</v>
      </c>
      <c r="AB159"/>
      <c r="AC159" s="3" t="s">
        <v>200</v>
      </c>
      <c r="AD159" s="152">
        <v>0</v>
      </c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1">
        <v>0</v>
      </c>
      <c r="AW159" s="3" t="s">
        <v>200</v>
      </c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1"/>
      <c r="BN159" s="151"/>
      <c r="BO159" s="151"/>
      <c r="BP159" s="151"/>
      <c r="BQ159" s="151"/>
      <c r="BR159" s="151"/>
      <c r="BS159" s="151"/>
      <c r="BT159" s="151"/>
      <c r="BU159" s="151"/>
      <c r="BV159" s="151"/>
      <c r="BW159" s="151"/>
      <c r="BX159" s="151"/>
      <c r="BY159" s="151"/>
      <c r="BZ159" s="151"/>
      <c r="CA159" s="151"/>
      <c r="CB159" s="151">
        <v>0</v>
      </c>
      <c r="CC159" s="151">
        <v>0</v>
      </c>
    </row>
    <row r="160" spans="22:81" x14ac:dyDescent="0.25">
      <c r="V160" s="3" t="s">
        <v>113</v>
      </c>
      <c r="W160" s="152"/>
      <c r="X160" s="152">
        <v>0</v>
      </c>
      <c r="Y160" s="152">
        <v>0</v>
      </c>
      <c r="Z160" s="152"/>
      <c r="AA160" s="152">
        <v>0</v>
      </c>
      <c r="AB160"/>
      <c r="AC160" s="3" t="s">
        <v>196</v>
      </c>
      <c r="AD160" s="152"/>
      <c r="AE160" s="152">
        <v>0</v>
      </c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1">
        <v>0</v>
      </c>
      <c r="AW160" s="3" t="s">
        <v>196</v>
      </c>
      <c r="AX160" s="151"/>
      <c r="AY160" s="151"/>
      <c r="AZ160" s="151"/>
      <c r="BA160" s="151"/>
      <c r="BB160" s="151"/>
      <c r="BC160" s="151">
        <v>0</v>
      </c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1"/>
      <c r="BN160" s="151"/>
      <c r="BO160" s="151"/>
      <c r="BP160" s="151"/>
      <c r="BQ160" s="151"/>
      <c r="BR160" s="151"/>
      <c r="BS160" s="151"/>
      <c r="BT160" s="151"/>
      <c r="BU160" s="151"/>
      <c r="BV160" s="151"/>
      <c r="BW160" s="151"/>
      <c r="BX160" s="151"/>
      <c r="BY160" s="151"/>
      <c r="BZ160" s="151"/>
      <c r="CA160" s="151"/>
      <c r="CB160" s="151"/>
      <c r="CC160" s="151">
        <v>0</v>
      </c>
    </row>
    <row r="161" spans="22:81" x14ac:dyDescent="0.25">
      <c r="V161" s="3" t="s">
        <v>207</v>
      </c>
      <c r="W161" s="152"/>
      <c r="X161" s="152"/>
      <c r="Y161" s="152">
        <v>0</v>
      </c>
      <c r="Z161" s="152"/>
      <c r="AA161" s="152">
        <v>0</v>
      </c>
      <c r="AB161"/>
      <c r="AC161" s="3" t="s">
        <v>31</v>
      </c>
      <c r="AD161" s="152"/>
      <c r="AE161" s="152"/>
      <c r="AF161" s="152"/>
      <c r="AG161" s="152"/>
      <c r="AH161" s="152"/>
      <c r="AI161" s="152"/>
      <c r="AJ161" s="152"/>
      <c r="AK161" s="152"/>
      <c r="AL161" s="152">
        <v>0</v>
      </c>
      <c r="AM161" s="152"/>
      <c r="AN161" s="152">
        <v>0</v>
      </c>
      <c r="AO161" s="152"/>
      <c r="AP161" s="152"/>
      <c r="AQ161" s="152"/>
      <c r="AR161" s="152"/>
      <c r="AS161" s="152"/>
      <c r="AT161" s="152">
        <v>0</v>
      </c>
      <c r="AU161" s="151">
        <v>0</v>
      </c>
      <c r="AW161" s="3" t="s">
        <v>31</v>
      </c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  <c r="BI161" s="151"/>
      <c r="BJ161" s="151"/>
      <c r="BK161" s="151"/>
      <c r="BL161" s="151"/>
      <c r="BM161" s="151"/>
      <c r="BN161" s="151"/>
      <c r="BO161" s="151"/>
      <c r="BP161" s="151"/>
      <c r="BQ161" s="151"/>
      <c r="BR161" s="151">
        <v>0</v>
      </c>
      <c r="BS161" s="151"/>
      <c r="BT161" s="151">
        <v>0</v>
      </c>
      <c r="BU161" s="151"/>
      <c r="BV161" s="151"/>
      <c r="BW161" s="151">
        <v>0</v>
      </c>
      <c r="BX161" s="151"/>
      <c r="BY161" s="151"/>
      <c r="BZ161" s="151"/>
      <c r="CA161" s="151"/>
      <c r="CB161" s="151"/>
      <c r="CC161" s="151">
        <v>0</v>
      </c>
    </row>
    <row r="162" spans="22:81" x14ac:dyDescent="0.25">
      <c r="V162" s="3" t="s">
        <v>182</v>
      </c>
      <c r="W162" s="152"/>
      <c r="X162" s="152"/>
      <c r="Y162" s="152"/>
      <c r="Z162" s="152">
        <v>0</v>
      </c>
      <c r="AA162" s="152">
        <v>0</v>
      </c>
      <c r="AB162"/>
      <c r="AC162" s="3" t="s">
        <v>102</v>
      </c>
      <c r="AD162" s="152"/>
      <c r="AE162" s="152"/>
      <c r="AF162" s="152"/>
      <c r="AG162" s="152"/>
      <c r="AH162" s="152"/>
      <c r="AI162" s="152"/>
      <c r="AJ162" s="152"/>
      <c r="AK162" s="152">
        <v>0</v>
      </c>
      <c r="AL162" s="152"/>
      <c r="AM162" s="152">
        <v>0</v>
      </c>
      <c r="AN162" s="152">
        <v>0</v>
      </c>
      <c r="AO162" s="152"/>
      <c r="AP162" s="152"/>
      <c r="AQ162" s="152"/>
      <c r="AR162" s="152"/>
      <c r="AS162" s="152"/>
      <c r="AT162" s="152"/>
      <c r="AU162" s="151">
        <v>0</v>
      </c>
      <c r="AW162" s="3" t="s">
        <v>102</v>
      </c>
      <c r="AX162" s="151"/>
      <c r="AY162" s="151">
        <v>0</v>
      </c>
      <c r="AZ162" s="151"/>
      <c r="BA162" s="151">
        <v>0</v>
      </c>
      <c r="BB162" s="151">
        <v>0</v>
      </c>
      <c r="BC162" s="151"/>
      <c r="BD162" s="151"/>
      <c r="BE162" s="151"/>
      <c r="BF162" s="151"/>
      <c r="BG162" s="151"/>
      <c r="BH162" s="151"/>
      <c r="BI162" s="151"/>
      <c r="BJ162" s="151"/>
      <c r="BK162" s="151"/>
      <c r="BL162" s="151"/>
      <c r="BM162" s="151"/>
      <c r="BN162" s="151"/>
      <c r="BO162" s="151"/>
      <c r="BP162" s="151"/>
      <c r="BQ162" s="151"/>
      <c r="BR162" s="151"/>
      <c r="BS162" s="151"/>
      <c r="BT162" s="151"/>
      <c r="BU162" s="151"/>
      <c r="BV162" s="151"/>
      <c r="BW162" s="151"/>
      <c r="BX162" s="151"/>
      <c r="BY162" s="151"/>
      <c r="BZ162" s="151"/>
      <c r="CA162" s="151"/>
      <c r="CB162" s="151"/>
      <c r="CC162" s="151">
        <v>0</v>
      </c>
    </row>
    <row r="163" spans="22:81" x14ac:dyDescent="0.25">
      <c r="V163" s="3" t="s">
        <v>38</v>
      </c>
      <c r="W163" s="152">
        <v>0</v>
      </c>
      <c r="X163" s="152"/>
      <c r="Y163" s="152"/>
      <c r="Z163" s="152">
        <v>0</v>
      </c>
      <c r="AA163" s="152">
        <v>0</v>
      </c>
      <c r="AB163"/>
      <c r="AC163" s="3" t="s">
        <v>203</v>
      </c>
      <c r="AD163" s="152">
        <v>0</v>
      </c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2"/>
      <c r="AQ163" s="152"/>
      <c r="AR163" s="152"/>
      <c r="AS163" s="152"/>
      <c r="AT163" s="152"/>
      <c r="AU163" s="151">
        <v>0</v>
      </c>
      <c r="AW163" s="3" t="s">
        <v>203</v>
      </c>
      <c r="AX163" s="151"/>
      <c r="AY163" s="151"/>
      <c r="AZ163" s="151"/>
      <c r="BA163" s="151"/>
      <c r="BB163" s="151"/>
      <c r="BC163" s="151"/>
      <c r="BD163" s="151">
        <v>0</v>
      </c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151"/>
      <c r="BP163" s="151"/>
      <c r="BQ163" s="151"/>
      <c r="BR163" s="151"/>
      <c r="BS163" s="151"/>
      <c r="BT163" s="151"/>
      <c r="BU163" s="151"/>
      <c r="BV163" s="151"/>
      <c r="BW163" s="151"/>
      <c r="BX163" s="151"/>
      <c r="BY163" s="151"/>
      <c r="BZ163" s="151"/>
      <c r="CA163" s="151"/>
      <c r="CB163" s="151"/>
      <c r="CC163" s="151">
        <v>0</v>
      </c>
    </row>
    <row r="164" spans="22:81" x14ac:dyDescent="0.25">
      <c r="V164" s="3" t="s">
        <v>122</v>
      </c>
      <c r="W164" s="152"/>
      <c r="X164" s="152"/>
      <c r="Y164" s="152">
        <v>0</v>
      </c>
      <c r="Z164" s="152">
        <v>0</v>
      </c>
      <c r="AA164" s="152">
        <v>0</v>
      </c>
      <c r="AB164"/>
      <c r="AC164" s="3" t="s">
        <v>42</v>
      </c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>
        <v>0</v>
      </c>
      <c r="AS164" s="152">
        <v>0</v>
      </c>
      <c r="AT164" s="152">
        <v>0</v>
      </c>
      <c r="AU164" s="151">
        <v>0</v>
      </c>
      <c r="AW164" s="3" t="s">
        <v>42</v>
      </c>
      <c r="AX164" s="151"/>
      <c r="AY164" s="151"/>
      <c r="AZ164" s="151"/>
      <c r="BA164" s="151">
        <v>0</v>
      </c>
      <c r="BB164" s="151">
        <v>0</v>
      </c>
      <c r="BC164" s="151">
        <v>0</v>
      </c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1"/>
      <c r="BN164" s="151"/>
      <c r="BO164" s="151"/>
      <c r="BP164" s="151"/>
      <c r="BQ164" s="151"/>
      <c r="BR164" s="151"/>
      <c r="BS164" s="151"/>
      <c r="BT164" s="151"/>
      <c r="BU164" s="151"/>
      <c r="BV164" s="151"/>
      <c r="BW164" s="151"/>
      <c r="BX164" s="151"/>
      <c r="BY164" s="151"/>
      <c r="BZ164" s="151"/>
      <c r="CA164" s="151"/>
      <c r="CB164" s="151"/>
      <c r="CC164" s="151">
        <v>0</v>
      </c>
    </row>
    <row r="165" spans="22:81" x14ac:dyDescent="0.25">
      <c r="V165" s="3" t="s">
        <v>172</v>
      </c>
      <c r="W165" s="152"/>
      <c r="X165" s="152"/>
      <c r="Y165" s="152"/>
      <c r="Z165" s="152">
        <v>0</v>
      </c>
      <c r="AA165" s="152">
        <v>0</v>
      </c>
      <c r="AB165"/>
      <c r="AC165" s="3" t="s">
        <v>207</v>
      </c>
      <c r="AD165" s="152">
        <v>0</v>
      </c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2"/>
      <c r="AQ165" s="152"/>
      <c r="AR165" s="152"/>
      <c r="AS165" s="152"/>
      <c r="AT165" s="152"/>
      <c r="AU165" s="151">
        <v>0</v>
      </c>
      <c r="AW165" s="3" t="s">
        <v>207</v>
      </c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1"/>
      <c r="BJ165" s="151"/>
      <c r="BK165" s="151"/>
      <c r="BL165" s="151"/>
      <c r="BM165" s="151"/>
      <c r="BN165" s="151"/>
      <c r="BO165" s="151"/>
      <c r="BP165" s="151"/>
      <c r="BQ165" s="151"/>
      <c r="BR165" s="151"/>
      <c r="BS165" s="151"/>
      <c r="BT165" s="151"/>
      <c r="BU165" s="151"/>
      <c r="BV165" s="151"/>
      <c r="BW165" s="151"/>
      <c r="BX165" s="151"/>
      <c r="BY165" s="151"/>
      <c r="BZ165" s="151"/>
      <c r="CA165" s="151"/>
      <c r="CB165" s="151">
        <v>0</v>
      </c>
      <c r="CC165" s="151">
        <v>0</v>
      </c>
    </row>
    <row r="166" spans="22:81" x14ac:dyDescent="0.25">
      <c r="V166" s="3" t="s">
        <v>168</v>
      </c>
      <c r="W166" s="152"/>
      <c r="X166" s="152"/>
      <c r="Y166" s="152">
        <v>0</v>
      </c>
      <c r="Z166" s="152">
        <v>0</v>
      </c>
      <c r="AA166" s="152">
        <v>0</v>
      </c>
      <c r="AB166"/>
      <c r="AC166" s="3" t="s">
        <v>147</v>
      </c>
      <c r="AD166" s="152"/>
      <c r="AE166" s="152"/>
      <c r="AF166" s="152"/>
      <c r="AG166" s="152"/>
      <c r="AH166" s="152">
        <v>0</v>
      </c>
      <c r="AI166" s="152">
        <v>0</v>
      </c>
      <c r="AJ166" s="152">
        <v>0</v>
      </c>
      <c r="AK166" s="152"/>
      <c r="AL166" s="152"/>
      <c r="AM166" s="152"/>
      <c r="AN166" s="152"/>
      <c r="AO166" s="152"/>
      <c r="AP166" s="152"/>
      <c r="AQ166" s="152"/>
      <c r="AR166" s="152"/>
      <c r="AS166" s="152"/>
      <c r="AT166" s="152"/>
      <c r="AU166" s="151">
        <v>0</v>
      </c>
      <c r="AW166" s="3" t="s">
        <v>147</v>
      </c>
      <c r="AX166" s="151"/>
      <c r="AY166" s="151">
        <v>0</v>
      </c>
      <c r="AZ166" s="151">
        <v>0</v>
      </c>
      <c r="BA166" s="151">
        <v>0</v>
      </c>
      <c r="BB166" s="151"/>
      <c r="BC166" s="151"/>
      <c r="BD166" s="151"/>
      <c r="BE166" s="151"/>
      <c r="BF166" s="151"/>
      <c r="BG166" s="151"/>
      <c r="BH166" s="151"/>
      <c r="BI166" s="151"/>
      <c r="BJ166" s="151"/>
      <c r="BK166" s="151"/>
      <c r="BL166" s="151"/>
      <c r="BM166" s="151"/>
      <c r="BN166" s="151"/>
      <c r="BO166" s="151"/>
      <c r="BP166" s="151"/>
      <c r="BQ166" s="151"/>
      <c r="BR166" s="151"/>
      <c r="BS166" s="151"/>
      <c r="BT166" s="151"/>
      <c r="BU166" s="151"/>
      <c r="BV166" s="151"/>
      <c r="BW166" s="151"/>
      <c r="BX166" s="151"/>
      <c r="BY166" s="151"/>
      <c r="BZ166" s="151"/>
      <c r="CA166" s="151"/>
      <c r="CB166" s="151"/>
      <c r="CC166" s="151">
        <v>0</v>
      </c>
    </row>
    <row r="167" spans="22:81" x14ac:dyDescent="0.25">
      <c r="V167" s="3" t="s">
        <v>98</v>
      </c>
      <c r="W167" s="152"/>
      <c r="X167" s="152">
        <v>0</v>
      </c>
      <c r="Y167" s="152"/>
      <c r="Z167" s="152"/>
      <c r="AA167" s="152">
        <v>0</v>
      </c>
      <c r="AB167"/>
      <c r="AC167" s="3" t="s">
        <v>38</v>
      </c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>
        <v>0</v>
      </c>
      <c r="AO167" s="152"/>
      <c r="AP167" s="152"/>
      <c r="AQ167" s="152"/>
      <c r="AR167" s="152"/>
      <c r="AS167" s="152"/>
      <c r="AT167" s="152">
        <v>0</v>
      </c>
      <c r="AU167" s="151">
        <v>0</v>
      </c>
      <c r="AW167" s="3" t="s">
        <v>38</v>
      </c>
      <c r="AX167" s="151"/>
      <c r="AY167" s="151">
        <v>0</v>
      </c>
      <c r="AZ167" s="151"/>
      <c r="BA167" s="151"/>
      <c r="BB167" s="151"/>
      <c r="BC167" s="151"/>
      <c r="BD167" s="151"/>
      <c r="BE167" s="151">
        <v>0</v>
      </c>
      <c r="BF167" s="151"/>
      <c r="BG167" s="151"/>
      <c r="BH167" s="151"/>
      <c r="BI167" s="151"/>
      <c r="BJ167" s="151"/>
      <c r="BK167" s="151"/>
      <c r="BL167" s="151"/>
      <c r="BM167" s="151"/>
      <c r="BN167" s="151"/>
      <c r="BO167" s="151"/>
      <c r="BP167" s="151"/>
      <c r="BQ167" s="151"/>
      <c r="BR167" s="151"/>
      <c r="BS167" s="151"/>
      <c r="BT167" s="151"/>
      <c r="BU167" s="151"/>
      <c r="BV167" s="151"/>
      <c r="BW167" s="151"/>
      <c r="BX167" s="151"/>
      <c r="BY167" s="151"/>
      <c r="BZ167" s="151"/>
      <c r="CA167" s="151"/>
      <c r="CB167" s="151"/>
      <c r="CC167" s="151">
        <v>0</v>
      </c>
    </row>
    <row r="168" spans="22:81" x14ac:dyDescent="0.25">
      <c r="V168" s="3" t="s">
        <v>208</v>
      </c>
      <c r="W168" s="152"/>
      <c r="X168" s="152"/>
      <c r="Y168" s="152">
        <v>0</v>
      </c>
      <c r="Z168" s="152"/>
      <c r="AA168" s="152">
        <v>0</v>
      </c>
      <c r="AB168"/>
      <c r="AC168" s="3" t="s">
        <v>168</v>
      </c>
      <c r="AD168" s="152"/>
      <c r="AE168" s="152">
        <v>0</v>
      </c>
      <c r="AF168" s="152">
        <v>0</v>
      </c>
      <c r="AG168" s="152">
        <v>0</v>
      </c>
      <c r="AH168" s="152">
        <v>0</v>
      </c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1">
        <v>0</v>
      </c>
      <c r="AW168" s="3" t="s">
        <v>168</v>
      </c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  <c r="BI168" s="151"/>
      <c r="BJ168" s="151"/>
      <c r="BK168" s="151"/>
      <c r="BL168" s="151"/>
      <c r="BM168" s="151"/>
      <c r="BN168" s="151"/>
      <c r="BO168" s="151"/>
      <c r="BP168" s="151"/>
      <c r="BQ168" s="151"/>
      <c r="BR168" s="151"/>
      <c r="BS168" s="151"/>
      <c r="BT168" s="151"/>
      <c r="BU168" s="151"/>
      <c r="BV168" s="151"/>
      <c r="BW168" s="151"/>
      <c r="BX168" s="151">
        <v>0</v>
      </c>
      <c r="BY168" s="151">
        <v>0</v>
      </c>
      <c r="BZ168" s="151">
        <v>0</v>
      </c>
      <c r="CA168" s="151">
        <v>0</v>
      </c>
      <c r="CB168" s="151"/>
      <c r="CC168" s="151">
        <v>0</v>
      </c>
    </row>
    <row r="169" spans="22:81" x14ac:dyDescent="0.25">
      <c r="V169" s="3" t="s">
        <v>55</v>
      </c>
      <c r="W169" s="152"/>
      <c r="X169" s="152">
        <v>0</v>
      </c>
      <c r="Y169" s="152"/>
      <c r="Z169" s="152"/>
      <c r="AA169" s="152">
        <v>0</v>
      </c>
      <c r="AB169"/>
      <c r="AC169" s="3" t="s">
        <v>161</v>
      </c>
      <c r="AD169" s="152"/>
      <c r="AE169" s="152"/>
      <c r="AF169" s="152"/>
      <c r="AG169" s="152">
        <v>0</v>
      </c>
      <c r="AH169" s="152">
        <v>0</v>
      </c>
      <c r="AI169" s="152">
        <v>0</v>
      </c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1">
        <v>0</v>
      </c>
      <c r="AW169" s="3" t="s">
        <v>161</v>
      </c>
      <c r="AX169" s="151"/>
      <c r="AY169" s="151"/>
      <c r="AZ169" s="151">
        <v>0</v>
      </c>
      <c r="BA169" s="151">
        <v>0</v>
      </c>
      <c r="BB169" s="151">
        <v>0</v>
      </c>
      <c r="BC169" s="151"/>
      <c r="BD169" s="151"/>
      <c r="BE169" s="151"/>
      <c r="BF169" s="151"/>
      <c r="BG169" s="151"/>
      <c r="BH169" s="151"/>
      <c r="BI169" s="151"/>
      <c r="BJ169" s="151"/>
      <c r="BK169" s="151"/>
      <c r="BL169" s="151"/>
      <c r="BM169" s="151"/>
      <c r="BN169" s="151"/>
      <c r="BO169" s="151"/>
      <c r="BP169" s="151"/>
      <c r="BQ169" s="151"/>
      <c r="BR169" s="151"/>
      <c r="BS169" s="151"/>
      <c r="BT169" s="151"/>
      <c r="BU169" s="151"/>
      <c r="BV169" s="151"/>
      <c r="BW169" s="151"/>
      <c r="BX169" s="151"/>
      <c r="BY169" s="151"/>
      <c r="BZ169" s="151"/>
      <c r="CA169" s="151"/>
      <c r="CB169" s="151"/>
      <c r="CC169" s="151">
        <v>0</v>
      </c>
    </row>
    <row r="170" spans="22:81" x14ac:dyDescent="0.25">
      <c r="V170" s="3" t="s">
        <v>49</v>
      </c>
      <c r="W170" s="152"/>
      <c r="X170" s="152">
        <v>0</v>
      </c>
      <c r="Y170" s="152"/>
      <c r="Z170" s="152"/>
      <c r="AA170" s="152">
        <v>0</v>
      </c>
      <c r="AB170"/>
      <c r="AC170" s="3" t="s">
        <v>208</v>
      </c>
      <c r="AD170" s="152">
        <v>0</v>
      </c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1">
        <v>0</v>
      </c>
      <c r="AW170" s="3" t="s">
        <v>208</v>
      </c>
      <c r="AX170" s="151"/>
      <c r="AY170" s="151"/>
      <c r="AZ170" s="151"/>
      <c r="BA170" s="151"/>
      <c r="BB170" s="151"/>
      <c r="BC170" s="151"/>
      <c r="BD170" s="151"/>
      <c r="BE170" s="151"/>
      <c r="BF170" s="151">
        <v>0</v>
      </c>
      <c r="BG170" s="151"/>
      <c r="BH170" s="151"/>
      <c r="BI170" s="151"/>
      <c r="BJ170" s="151"/>
      <c r="BK170" s="151"/>
      <c r="BL170" s="151"/>
      <c r="BM170" s="151"/>
      <c r="BN170" s="151"/>
      <c r="BO170" s="151"/>
      <c r="BP170" s="151"/>
      <c r="BQ170" s="151"/>
      <c r="BR170" s="151"/>
      <c r="BS170" s="151"/>
      <c r="BT170" s="151"/>
      <c r="BU170" s="151"/>
      <c r="BV170" s="151"/>
      <c r="BW170" s="151"/>
      <c r="BX170" s="151"/>
      <c r="BY170" s="151"/>
      <c r="BZ170" s="151"/>
      <c r="CA170" s="151"/>
      <c r="CB170" s="151"/>
      <c r="CC170" s="151">
        <v>0</v>
      </c>
    </row>
    <row r="171" spans="22:81" x14ac:dyDescent="0.25">
      <c r="V171" s="3" t="s">
        <v>121</v>
      </c>
      <c r="W171" s="152"/>
      <c r="X171" s="152"/>
      <c r="Y171" s="152">
        <v>0</v>
      </c>
      <c r="Z171" s="152">
        <v>0</v>
      </c>
      <c r="AA171" s="152">
        <v>0</v>
      </c>
      <c r="AB171"/>
      <c r="AC171" s="3" t="s">
        <v>98</v>
      </c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>
        <v>0</v>
      </c>
      <c r="AP171" s="152"/>
      <c r="AQ171" s="152"/>
      <c r="AR171" s="152"/>
      <c r="AS171" s="152"/>
      <c r="AT171" s="152"/>
      <c r="AU171" s="151">
        <v>0</v>
      </c>
      <c r="AW171" s="3" t="s">
        <v>98</v>
      </c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>
        <v>0</v>
      </c>
      <c r="BJ171" s="151"/>
      <c r="BK171" s="151"/>
      <c r="BL171" s="151"/>
      <c r="BM171" s="151"/>
      <c r="BN171" s="151"/>
      <c r="BO171" s="151"/>
      <c r="BP171" s="151"/>
      <c r="BQ171" s="151"/>
      <c r="BR171" s="151"/>
      <c r="BS171" s="151"/>
      <c r="BT171" s="151"/>
      <c r="BU171" s="151"/>
      <c r="BV171" s="151"/>
      <c r="BW171" s="151"/>
      <c r="BX171" s="151"/>
      <c r="BY171" s="151"/>
      <c r="BZ171" s="151"/>
      <c r="CA171" s="151"/>
      <c r="CB171" s="151"/>
      <c r="CC171" s="151">
        <v>0</v>
      </c>
    </row>
    <row r="172" spans="22:81" x14ac:dyDescent="0.25">
      <c r="V172" s="3" t="s">
        <v>110</v>
      </c>
      <c r="W172" s="152"/>
      <c r="X172" s="152">
        <v>0</v>
      </c>
      <c r="Y172" s="152"/>
      <c r="Z172" s="152"/>
      <c r="AA172" s="152">
        <v>0</v>
      </c>
      <c r="AB172"/>
      <c r="AC172" s="3" t="s">
        <v>49</v>
      </c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>
        <v>0</v>
      </c>
      <c r="AT172" s="152"/>
      <c r="AU172" s="151">
        <v>0</v>
      </c>
      <c r="AW172" s="3" t="s">
        <v>49</v>
      </c>
      <c r="AX172" s="151"/>
      <c r="AY172" s="151"/>
      <c r="AZ172" s="151"/>
      <c r="BA172" s="151"/>
      <c r="BB172" s="151"/>
      <c r="BC172" s="151">
        <v>0</v>
      </c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1"/>
      <c r="BN172" s="151"/>
      <c r="BO172" s="151"/>
      <c r="BP172" s="151"/>
      <c r="BQ172" s="151"/>
      <c r="BR172" s="151"/>
      <c r="BS172" s="151"/>
      <c r="BT172" s="151"/>
      <c r="BU172" s="151"/>
      <c r="BV172" s="151"/>
      <c r="BW172" s="151"/>
      <c r="BX172" s="151"/>
      <c r="BY172" s="151"/>
      <c r="BZ172" s="151"/>
      <c r="CA172" s="151"/>
      <c r="CB172" s="151"/>
      <c r="CC172" s="151">
        <v>0</v>
      </c>
    </row>
    <row r="173" spans="22:81" x14ac:dyDescent="0.25">
      <c r="V173" s="3" t="s">
        <v>178</v>
      </c>
      <c r="W173" s="152"/>
      <c r="X173" s="152"/>
      <c r="Y173" s="152"/>
      <c r="Z173" s="152">
        <v>0</v>
      </c>
      <c r="AA173" s="152">
        <v>0</v>
      </c>
      <c r="AB173"/>
      <c r="AC173" s="3" t="s">
        <v>55</v>
      </c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>
        <v>0</v>
      </c>
      <c r="AT173" s="152"/>
      <c r="AU173" s="151">
        <v>0</v>
      </c>
      <c r="AW173" s="3" t="s">
        <v>55</v>
      </c>
      <c r="AX173" s="151"/>
      <c r="AY173" s="151"/>
      <c r="AZ173" s="151">
        <v>0</v>
      </c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1"/>
      <c r="BN173" s="151"/>
      <c r="BO173" s="151"/>
      <c r="BP173" s="151"/>
      <c r="BQ173" s="151"/>
      <c r="BR173" s="151"/>
      <c r="BS173" s="151"/>
      <c r="BT173" s="151"/>
      <c r="BU173" s="151"/>
      <c r="BV173" s="151"/>
      <c r="BW173" s="151"/>
      <c r="BX173" s="151"/>
      <c r="BY173" s="151"/>
      <c r="BZ173" s="151"/>
      <c r="CA173" s="151"/>
      <c r="CB173" s="151"/>
      <c r="CC173" s="151">
        <v>0</v>
      </c>
    </row>
    <row r="174" spans="22:81" x14ac:dyDescent="0.25">
      <c r="V174" s="3" t="s">
        <v>197</v>
      </c>
      <c r="W174" s="152"/>
      <c r="X174" s="152"/>
      <c r="Y174" s="152">
        <v>0</v>
      </c>
      <c r="Z174" s="152"/>
      <c r="AA174" s="152">
        <v>0</v>
      </c>
      <c r="AB174"/>
      <c r="AC174" s="3" t="s">
        <v>110</v>
      </c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>
        <v>0</v>
      </c>
      <c r="AN174" s="152"/>
      <c r="AO174" s="152"/>
      <c r="AP174" s="152"/>
      <c r="AQ174" s="152"/>
      <c r="AR174" s="152"/>
      <c r="AS174" s="152"/>
      <c r="AT174" s="152"/>
      <c r="AU174" s="151">
        <v>0</v>
      </c>
      <c r="AW174" s="3" t="s">
        <v>110</v>
      </c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1"/>
      <c r="BN174" s="151"/>
      <c r="BO174" s="151"/>
      <c r="BP174" s="151"/>
      <c r="BQ174" s="151"/>
      <c r="BR174" s="151"/>
      <c r="BS174" s="151"/>
      <c r="BT174" s="151"/>
      <c r="BU174" s="151"/>
      <c r="BV174" s="151"/>
      <c r="BW174" s="151">
        <v>0</v>
      </c>
      <c r="BX174" s="151"/>
      <c r="BY174" s="151"/>
      <c r="BZ174" s="151"/>
      <c r="CA174" s="151"/>
      <c r="CB174" s="151"/>
      <c r="CC174" s="151">
        <v>0</v>
      </c>
    </row>
    <row r="175" spans="22:81" x14ac:dyDescent="0.25">
      <c r="V175" s="3" t="s">
        <v>96</v>
      </c>
      <c r="W175" s="152"/>
      <c r="X175" s="152">
        <v>0</v>
      </c>
      <c r="Y175" s="152"/>
      <c r="Z175" s="152">
        <v>0</v>
      </c>
      <c r="AA175" s="152">
        <v>0</v>
      </c>
      <c r="AB175"/>
      <c r="AC175" s="3" t="s">
        <v>121</v>
      </c>
      <c r="AD175" s="152"/>
      <c r="AE175" s="152"/>
      <c r="AF175" s="152"/>
      <c r="AG175" s="152"/>
      <c r="AH175" s="152"/>
      <c r="AI175" s="152"/>
      <c r="AJ175" s="152">
        <v>0</v>
      </c>
      <c r="AK175" s="152">
        <v>0</v>
      </c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1">
        <v>0</v>
      </c>
      <c r="AW175" s="3" t="s">
        <v>121</v>
      </c>
      <c r="AX175" s="151"/>
      <c r="AY175" s="151"/>
      <c r="AZ175" s="151"/>
      <c r="BA175" s="151"/>
      <c r="BB175" s="151">
        <v>0</v>
      </c>
      <c r="BC175" s="151">
        <v>0</v>
      </c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1"/>
      <c r="BN175" s="151"/>
      <c r="BO175" s="151"/>
      <c r="BP175" s="151"/>
      <c r="BQ175" s="151"/>
      <c r="BR175" s="151"/>
      <c r="BS175" s="151"/>
      <c r="BT175" s="151"/>
      <c r="BU175" s="151"/>
      <c r="BV175" s="151"/>
      <c r="BW175" s="151"/>
      <c r="BX175" s="151"/>
      <c r="BY175" s="151"/>
      <c r="BZ175" s="151"/>
      <c r="CA175" s="151"/>
      <c r="CB175" s="151"/>
      <c r="CC175" s="151">
        <v>0</v>
      </c>
    </row>
    <row r="176" spans="22:81" x14ac:dyDescent="0.25">
      <c r="V176" s="3" t="s">
        <v>160</v>
      </c>
      <c r="W176" s="152"/>
      <c r="X176" s="152"/>
      <c r="Y176" s="152"/>
      <c r="Z176" s="152">
        <v>0</v>
      </c>
      <c r="AA176" s="152">
        <v>0</v>
      </c>
      <c r="AB176"/>
      <c r="AC176" s="3" t="s">
        <v>113</v>
      </c>
      <c r="AD176" s="152"/>
      <c r="AE176" s="152"/>
      <c r="AF176" s="152"/>
      <c r="AG176" s="152"/>
      <c r="AH176" s="152"/>
      <c r="AI176" s="152"/>
      <c r="AJ176" s="152"/>
      <c r="AK176" s="152">
        <v>0</v>
      </c>
      <c r="AL176" s="152">
        <v>0</v>
      </c>
      <c r="AM176" s="152"/>
      <c r="AN176" s="152"/>
      <c r="AO176" s="152"/>
      <c r="AP176" s="152"/>
      <c r="AQ176" s="152"/>
      <c r="AR176" s="152"/>
      <c r="AS176" s="152"/>
      <c r="AT176" s="152"/>
      <c r="AU176" s="151">
        <v>0</v>
      </c>
      <c r="AW176" s="3" t="s">
        <v>113</v>
      </c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>
        <v>0</v>
      </c>
      <c r="BI176" s="151">
        <v>0</v>
      </c>
      <c r="BJ176" s="151"/>
      <c r="BK176" s="151"/>
      <c r="BL176" s="151"/>
      <c r="BM176" s="151"/>
      <c r="BN176" s="151"/>
      <c r="BO176" s="151"/>
      <c r="BP176" s="151"/>
      <c r="BQ176" s="151"/>
      <c r="BR176" s="151"/>
      <c r="BS176" s="151"/>
      <c r="BT176" s="151"/>
      <c r="BU176" s="151"/>
      <c r="BV176" s="151"/>
      <c r="BW176" s="151"/>
      <c r="BX176" s="151"/>
      <c r="BY176" s="151"/>
      <c r="BZ176" s="151"/>
      <c r="CA176" s="151"/>
      <c r="CB176" s="151"/>
      <c r="CC176" s="151">
        <v>0</v>
      </c>
    </row>
    <row r="177" spans="22:81" x14ac:dyDescent="0.25">
      <c r="V177" s="3" t="s">
        <v>52</v>
      </c>
      <c r="W177" s="152"/>
      <c r="X177" s="152">
        <v>0</v>
      </c>
      <c r="Y177" s="152"/>
      <c r="Z177" s="152"/>
      <c r="AA177" s="152">
        <v>0</v>
      </c>
      <c r="AB177"/>
      <c r="AC177" s="3" t="s">
        <v>52</v>
      </c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>
        <v>0</v>
      </c>
      <c r="AT177" s="152"/>
      <c r="AU177" s="151">
        <v>0</v>
      </c>
      <c r="AW177" s="3" t="s">
        <v>52</v>
      </c>
      <c r="AX177" s="151"/>
      <c r="AY177" s="151"/>
      <c r="AZ177" s="151">
        <v>0</v>
      </c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151"/>
      <c r="BN177" s="151"/>
      <c r="BO177" s="151"/>
      <c r="BP177" s="151"/>
      <c r="BQ177" s="151"/>
      <c r="BR177" s="151"/>
      <c r="BS177" s="151"/>
      <c r="BT177" s="151"/>
      <c r="BU177" s="151"/>
      <c r="BV177" s="151"/>
      <c r="BW177" s="151"/>
      <c r="BX177" s="151"/>
      <c r="BY177" s="151"/>
      <c r="BZ177" s="151"/>
      <c r="CA177" s="151"/>
      <c r="CB177" s="151"/>
      <c r="CC177" s="151">
        <v>0</v>
      </c>
    </row>
    <row r="178" spans="22:81" x14ac:dyDescent="0.25">
      <c r="V178" s="3" t="s">
        <v>88</v>
      </c>
      <c r="W178" s="152"/>
      <c r="X178" s="152">
        <v>0</v>
      </c>
      <c r="Y178" s="152"/>
      <c r="Z178" s="152"/>
      <c r="AA178" s="152">
        <v>0</v>
      </c>
      <c r="AB178"/>
      <c r="AC178" s="3" t="s">
        <v>90</v>
      </c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>
        <v>0</v>
      </c>
      <c r="AP178" s="152">
        <v>0</v>
      </c>
      <c r="AQ178" s="152"/>
      <c r="AR178" s="152"/>
      <c r="AS178" s="152"/>
      <c r="AT178" s="152"/>
      <c r="AU178" s="151">
        <v>0</v>
      </c>
      <c r="AW178" s="3" t="s">
        <v>90</v>
      </c>
      <c r="AX178" s="151"/>
      <c r="AY178" s="151"/>
      <c r="AZ178" s="151"/>
      <c r="BA178" s="151"/>
      <c r="BB178" s="151">
        <v>0</v>
      </c>
      <c r="BC178" s="151">
        <v>0</v>
      </c>
      <c r="BD178" s="151"/>
      <c r="BE178" s="151"/>
      <c r="BF178" s="151"/>
      <c r="BG178" s="151"/>
      <c r="BH178" s="151"/>
      <c r="BI178" s="151"/>
      <c r="BJ178" s="151"/>
      <c r="BK178" s="151"/>
      <c r="BL178" s="151"/>
      <c r="BM178" s="151"/>
      <c r="BN178" s="151"/>
      <c r="BO178" s="151"/>
      <c r="BP178" s="151"/>
      <c r="BQ178" s="151"/>
      <c r="BR178" s="151"/>
      <c r="BS178" s="151"/>
      <c r="BT178" s="151"/>
      <c r="BU178" s="151"/>
      <c r="BV178" s="151"/>
      <c r="BW178" s="151"/>
      <c r="BX178" s="151"/>
      <c r="BY178" s="151"/>
      <c r="BZ178" s="151"/>
      <c r="CA178" s="151"/>
      <c r="CB178" s="151"/>
      <c r="CC178" s="151">
        <v>0</v>
      </c>
    </row>
    <row r="179" spans="22:81" x14ac:dyDescent="0.25">
      <c r="V179" s="3" t="s">
        <v>152</v>
      </c>
      <c r="W179" s="152"/>
      <c r="X179" s="152"/>
      <c r="Y179" s="152"/>
      <c r="Z179" s="152">
        <v>0</v>
      </c>
      <c r="AA179" s="152">
        <v>0</v>
      </c>
      <c r="AB179"/>
      <c r="AC179" s="3" t="s">
        <v>96</v>
      </c>
      <c r="AD179" s="152"/>
      <c r="AE179" s="152"/>
      <c r="AF179" s="152"/>
      <c r="AG179" s="152"/>
      <c r="AH179" s="152"/>
      <c r="AI179" s="152">
        <v>0</v>
      </c>
      <c r="AJ179" s="152">
        <v>0</v>
      </c>
      <c r="AK179" s="152"/>
      <c r="AL179" s="152"/>
      <c r="AM179" s="152"/>
      <c r="AN179" s="152"/>
      <c r="AO179" s="152">
        <v>0</v>
      </c>
      <c r="AP179" s="152"/>
      <c r="AQ179" s="152"/>
      <c r="AR179" s="152"/>
      <c r="AS179" s="152"/>
      <c r="AT179" s="152"/>
      <c r="AU179" s="151">
        <v>0</v>
      </c>
      <c r="AW179" s="3" t="s">
        <v>96</v>
      </c>
      <c r="AX179" s="151"/>
      <c r="AY179" s="151">
        <v>0</v>
      </c>
      <c r="AZ179" s="151">
        <v>0</v>
      </c>
      <c r="BA179" s="151"/>
      <c r="BB179" s="151"/>
      <c r="BC179" s="151"/>
      <c r="BD179" s="151"/>
      <c r="BE179" s="151">
        <v>0</v>
      </c>
      <c r="BF179" s="151"/>
      <c r="BG179" s="151"/>
      <c r="BH179" s="151"/>
      <c r="BI179" s="151"/>
      <c r="BJ179" s="151"/>
      <c r="BK179" s="151"/>
      <c r="BL179" s="151"/>
      <c r="BM179" s="151"/>
      <c r="BN179" s="151"/>
      <c r="BO179" s="151"/>
      <c r="BP179" s="151"/>
      <c r="BQ179" s="151"/>
      <c r="BR179" s="151"/>
      <c r="BS179" s="151"/>
      <c r="BT179" s="151"/>
      <c r="BU179" s="151"/>
      <c r="BV179" s="151"/>
      <c r="BW179" s="151"/>
      <c r="BX179" s="151"/>
      <c r="BY179" s="151"/>
      <c r="BZ179" s="151"/>
      <c r="CA179" s="151"/>
      <c r="CB179" s="151"/>
      <c r="CC179" s="151">
        <v>0</v>
      </c>
    </row>
    <row r="180" spans="22:81" x14ac:dyDescent="0.25">
      <c r="V180" s="3" t="s">
        <v>62</v>
      </c>
      <c r="W180" s="152"/>
      <c r="X180" s="152">
        <v>0</v>
      </c>
      <c r="Y180" s="152"/>
      <c r="Z180" s="152"/>
      <c r="AA180" s="152">
        <v>0</v>
      </c>
      <c r="AB180"/>
      <c r="AC180" s="3" t="s">
        <v>88</v>
      </c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>
        <v>0</v>
      </c>
      <c r="AQ180" s="152"/>
      <c r="AR180" s="152"/>
      <c r="AS180" s="152"/>
      <c r="AT180" s="152"/>
      <c r="AU180" s="151">
        <v>0</v>
      </c>
      <c r="AW180" s="3" t="s">
        <v>88</v>
      </c>
      <c r="AX180" s="151"/>
      <c r="AY180" s="151"/>
      <c r="AZ180" s="151"/>
      <c r="BA180" s="151"/>
      <c r="BB180" s="151"/>
      <c r="BC180" s="151">
        <v>0</v>
      </c>
      <c r="BD180" s="151"/>
      <c r="BE180" s="151"/>
      <c r="BF180" s="151"/>
      <c r="BG180" s="151"/>
      <c r="BH180" s="151"/>
      <c r="BI180" s="151"/>
      <c r="BJ180" s="151"/>
      <c r="BK180" s="151"/>
      <c r="BL180" s="151"/>
      <c r="BM180" s="151"/>
      <c r="BN180" s="151"/>
      <c r="BO180" s="151"/>
      <c r="BP180" s="151"/>
      <c r="BQ180" s="151"/>
      <c r="BR180" s="151"/>
      <c r="BS180" s="151"/>
      <c r="BT180" s="151"/>
      <c r="BU180" s="151"/>
      <c r="BV180" s="151"/>
      <c r="BW180" s="151"/>
      <c r="BX180" s="151"/>
      <c r="BY180" s="151"/>
      <c r="BZ180" s="151"/>
      <c r="CA180" s="151"/>
      <c r="CB180" s="151"/>
      <c r="CC180" s="151">
        <v>0</v>
      </c>
    </row>
    <row r="181" spans="22:81" x14ac:dyDescent="0.25">
      <c r="V181" s="3" t="s">
        <v>77</v>
      </c>
      <c r="W181" s="152"/>
      <c r="X181" s="152">
        <v>0</v>
      </c>
      <c r="Y181" s="152"/>
      <c r="Z181" s="152"/>
      <c r="AA181" s="152">
        <v>0</v>
      </c>
      <c r="AB181"/>
      <c r="AC181" s="3" t="s">
        <v>172</v>
      </c>
      <c r="AD181" s="152"/>
      <c r="AE181" s="152"/>
      <c r="AF181" s="152">
        <v>0</v>
      </c>
      <c r="AG181" s="152">
        <v>0</v>
      </c>
      <c r="AH181" s="152">
        <v>0</v>
      </c>
      <c r="AI181" s="152"/>
      <c r="AJ181" s="152"/>
      <c r="AK181" s="152"/>
      <c r="AL181" s="152"/>
      <c r="AM181" s="152"/>
      <c r="AN181" s="152"/>
      <c r="AO181" s="152"/>
      <c r="AP181" s="152"/>
      <c r="AQ181" s="152"/>
      <c r="AR181" s="152"/>
      <c r="AS181" s="152"/>
      <c r="AT181" s="152"/>
      <c r="AU181" s="151">
        <v>0</v>
      </c>
      <c r="AW181" s="3" t="s">
        <v>172</v>
      </c>
      <c r="AX181" s="151"/>
      <c r="AY181" s="151"/>
      <c r="AZ181" s="151"/>
      <c r="BA181" s="151"/>
      <c r="BB181" s="151"/>
      <c r="BC181" s="151"/>
      <c r="BD181" s="151"/>
      <c r="BE181" s="151"/>
      <c r="BF181" s="151">
        <v>0</v>
      </c>
      <c r="BG181" s="151">
        <v>0</v>
      </c>
      <c r="BH181" s="151">
        <v>0</v>
      </c>
      <c r="BI181" s="151"/>
      <c r="BJ181" s="151"/>
      <c r="BK181" s="151"/>
      <c r="BL181" s="151"/>
      <c r="BM181" s="151"/>
      <c r="BN181" s="151"/>
      <c r="BO181" s="151"/>
      <c r="BP181" s="151"/>
      <c r="BQ181" s="151"/>
      <c r="BR181" s="151"/>
      <c r="BS181" s="151"/>
      <c r="BT181" s="151"/>
      <c r="BU181" s="151"/>
      <c r="BV181" s="151"/>
      <c r="BW181" s="151"/>
      <c r="BX181" s="151"/>
      <c r="BY181" s="151"/>
      <c r="BZ181" s="151"/>
      <c r="CA181" s="151"/>
      <c r="CB181" s="151"/>
      <c r="CC181" s="151">
        <v>0</v>
      </c>
    </row>
    <row r="182" spans="22:81" x14ac:dyDescent="0.25">
      <c r="V182" s="3" t="s">
        <v>164</v>
      </c>
      <c r="W182" s="152"/>
      <c r="X182" s="152"/>
      <c r="Y182" s="152"/>
      <c r="Z182" s="152">
        <v>0</v>
      </c>
      <c r="AA182" s="152">
        <v>0</v>
      </c>
      <c r="AB182"/>
      <c r="AC182" s="3" t="s">
        <v>62</v>
      </c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2"/>
      <c r="AN182" s="152"/>
      <c r="AO182" s="152"/>
      <c r="AP182" s="152"/>
      <c r="AQ182" s="152">
        <v>0</v>
      </c>
      <c r="AR182" s="152">
        <v>0</v>
      </c>
      <c r="AS182" s="152"/>
      <c r="AT182" s="152"/>
      <c r="AU182" s="151">
        <v>0</v>
      </c>
      <c r="AW182" s="3" t="s">
        <v>62</v>
      </c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>
        <v>0</v>
      </c>
      <c r="BH182" s="151">
        <v>0</v>
      </c>
      <c r="BI182" s="151"/>
      <c r="BJ182" s="151"/>
      <c r="BK182" s="151"/>
      <c r="BL182" s="151"/>
      <c r="BM182" s="151"/>
      <c r="BN182" s="151"/>
      <c r="BO182" s="151"/>
      <c r="BP182" s="151"/>
      <c r="BQ182" s="151"/>
      <c r="BR182" s="151"/>
      <c r="BS182" s="151"/>
      <c r="BT182" s="151"/>
      <c r="BU182" s="151"/>
      <c r="BV182" s="151"/>
      <c r="BW182" s="151"/>
      <c r="BX182" s="151"/>
      <c r="BY182" s="151"/>
      <c r="BZ182" s="151"/>
      <c r="CA182" s="151"/>
      <c r="CB182" s="151"/>
      <c r="CC182" s="151">
        <v>0</v>
      </c>
    </row>
    <row r="183" spans="22:81" x14ac:dyDescent="0.25">
      <c r="V183" s="3" t="s">
        <v>51</v>
      </c>
      <c r="W183" s="152"/>
      <c r="X183" s="152">
        <v>0</v>
      </c>
      <c r="Y183" s="152"/>
      <c r="Z183" s="152"/>
      <c r="AA183" s="152">
        <v>0</v>
      </c>
      <c r="AB183"/>
      <c r="AC183" s="3" t="s">
        <v>152</v>
      </c>
      <c r="AD183" s="152"/>
      <c r="AE183" s="152"/>
      <c r="AF183" s="152"/>
      <c r="AG183" s="152"/>
      <c r="AH183" s="152"/>
      <c r="AI183" s="152">
        <v>0</v>
      </c>
      <c r="AJ183" s="152"/>
      <c r="AK183" s="152"/>
      <c r="AL183" s="152"/>
      <c r="AM183" s="152"/>
      <c r="AN183" s="152"/>
      <c r="AO183" s="152"/>
      <c r="AP183" s="152"/>
      <c r="AQ183" s="152"/>
      <c r="AR183" s="152"/>
      <c r="AS183" s="152"/>
      <c r="AT183" s="152"/>
      <c r="AU183" s="151">
        <v>0</v>
      </c>
      <c r="AW183" s="3" t="s">
        <v>152</v>
      </c>
      <c r="AX183" s="151"/>
      <c r="AY183" s="151"/>
      <c r="AZ183" s="151">
        <v>0</v>
      </c>
      <c r="BA183" s="151"/>
      <c r="BB183" s="151"/>
      <c r="BC183" s="151"/>
      <c r="BD183" s="151"/>
      <c r="BE183" s="151"/>
      <c r="BF183" s="151"/>
      <c r="BG183" s="151"/>
      <c r="BH183" s="151"/>
      <c r="BI183" s="151"/>
      <c r="BJ183" s="151"/>
      <c r="BK183" s="151"/>
      <c r="BL183" s="151"/>
      <c r="BM183" s="151"/>
      <c r="BN183" s="151"/>
      <c r="BO183" s="151"/>
      <c r="BP183" s="151"/>
      <c r="BQ183" s="151"/>
      <c r="BR183" s="151"/>
      <c r="BS183" s="151"/>
      <c r="BT183" s="151"/>
      <c r="BU183" s="151"/>
      <c r="BV183" s="151"/>
      <c r="BW183" s="151"/>
      <c r="BX183" s="151"/>
      <c r="BY183" s="151"/>
      <c r="BZ183" s="151"/>
      <c r="CA183" s="151"/>
      <c r="CB183" s="151"/>
      <c r="CC183" s="151">
        <v>0</v>
      </c>
    </row>
    <row r="184" spans="22:81" x14ac:dyDescent="0.25">
      <c r="V184" s="3" t="s">
        <v>127</v>
      </c>
      <c r="W184" s="152"/>
      <c r="X184" s="152"/>
      <c r="Y184" s="152">
        <v>0</v>
      </c>
      <c r="Z184" s="152"/>
      <c r="AA184" s="152">
        <v>0</v>
      </c>
      <c r="AB184"/>
      <c r="AC184" s="3" t="s">
        <v>198</v>
      </c>
      <c r="AD184" s="152"/>
      <c r="AE184" s="152">
        <v>0</v>
      </c>
      <c r="AF184" s="152"/>
      <c r="AG184" s="152"/>
      <c r="AH184" s="152"/>
      <c r="AI184" s="152"/>
      <c r="AJ184" s="152"/>
      <c r="AK184" s="152"/>
      <c r="AL184" s="152"/>
      <c r="AM184" s="152"/>
      <c r="AN184" s="152"/>
      <c r="AO184" s="152"/>
      <c r="AP184" s="152"/>
      <c r="AQ184" s="152"/>
      <c r="AR184" s="152"/>
      <c r="AS184" s="152"/>
      <c r="AT184" s="152"/>
      <c r="AU184" s="151">
        <v>0</v>
      </c>
      <c r="AW184" s="3" t="s">
        <v>198</v>
      </c>
      <c r="AX184" s="151"/>
      <c r="AY184" s="151"/>
      <c r="AZ184" s="151"/>
      <c r="BA184" s="151"/>
      <c r="BB184" s="151"/>
      <c r="BC184" s="151"/>
      <c r="BD184" s="151"/>
      <c r="BE184" s="151">
        <v>0</v>
      </c>
      <c r="BF184" s="151"/>
      <c r="BG184" s="151"/>
      <c r="BH184" s="151"/>
      <c r="BI184" s="151"/>
      <c r="BJ184" s="151"/>
      <c r="BK184" s="151"/>
      <c r="BL184" s="151"/>
      <c r="BM184" s="151"/>
      <c r="BN184" s="151"/>
      <c r="BO184" s="151"/>
      <c r="BP184" s="151"/>
      <c r="BQ184" s="151"/>
      <c r="BR184" s="151"/>
      <c r="BS184" s="151"/>
      <c r="BT184" s="151"/>
      <c r="BU184" s="151"/>
      <c r="BV184" s="151"/>
      <c r="BW184" s="151"/>
      <c r="BX184" s="151"/>
      <c r="BY184" s="151"/>
      <c r="BZ184" s="151"/>
      <c r="CA184" s="151"/>
      <c r="CB184" s="151"/>
      <c r="CC184" s="151">
        <v>0</v>
      </c>
    </row>
    <row r="185" spans="22:81" x14ac:dyDescent="0.25">
      <c r="V185" s="3" t="s">
        <v>142</v>
      </c>
      <c r="W185" s="152"/>
      <c r="X185" s="152"/>
      <c r="Y185" s="152"/>
      <c r="Z185" s="152">
        <v>0</v>
      </c>
      <c r="AA185" s="152">
        <v>0</v>
      </c>
      <c r="AB185"/>
      <c r="AC185" s="3" t="s">
        <v>178</v>
      </c>
      <c r="AD185" s="152"/>
      <c r="AE185" s="152"/>
      <c r="AF185" s="152"/>
      <c r="AG185" s="152">
        <v>0</v>
      </c>
      <c r="AH185" s="152"/>
      <c r="AI185" s="152"/>
      <c r="AJ185" s="152"/>
      <c r="AK185" s="152"/>
      <c r="AL185" s="152"/>
      <c r="AM185" s="152"/>
      <c r="AN185" s="152"/>
      <c r="AO185" s="152"/>
      <c r="AP185" s="152"/>
      <c r="AQ185" s="152"/>
      <c r="AR185" s="152"/>
      <c r="AS185" s="152"/>
      <c r="AT185" s="152"/>
      <c r="AU185" s="151">
        <v>0</v>
      </c>
      <c r="AW185" s="3" t="s">
        <v>178</v>
      </c>
      <c r="AX185" s="151"/>
      <c r="AY185" s="151">
        <v>0</v>
      </c>
      <c r="AZ185" s="151"/>
      <c r="BA185" s="151"/>
      <c r="BB185" s="151"/>
      <c r="BC185" s="151"/>
      <c r="BD185" s="151"/>
      <c r="BE185" s="151"/>
      <c r="BF185" s="151"/>
      <c r="BG185" s="151"/>
      <c r="BH185" s="151"/>
      <c r="BI185" s="151"/>
      <c r="BJ185" s="151"/>
      <c r="BK185" s="151"/>
      <c r="BL185" s="151"/>
      <c r="BM185" s="151"/>
      <c r="BN185" s="151"/>
      <c r="BO185" s="151"/>
      <c r="BP185" s="151"/>
      <c r="BQ185" s="151"/>
      <c r="BR185" s="151"/>
      <c r="BS185" s="151"/>
      <c r="BT185" s="151"/>
      <c r="BU185" s="151"/>
      <c r="BV185" s="151"/>
      <c r="BW185" s="151"/>
      <c r="BX185" s="151"/>
      <c r="BY185" s="151"/>
      <c r="BZ185" s="151"/>
      <c r="CA185" s="151"/>
      <c r="CB185" s="151"/>
      <c r="CC185" s="151">
        <v>0</v>
      </c>
    </row>
    <row r="186" spans="22:81" x14ac:dyDescent="0.25">
      <c r="V186" s="3" t="s">
        <v>115</v>
      </c>
      <c r="W186" s="152"/>
      <c r="X186" s="152">
        <v>0</v>
      </c>
      <c r="Y186" s="152"/>
      <c r="Z186" s="152"/>
      <c r="AA186" s="152">
        <v>0</v>
      </c>
      <c r="AB186"/>
      <c r="AC186" s="3" t="s">
        <v>127</v>
      </c>
      <c r="AD186" s="152"/>
      <c r="AE186" s="152"/>
      <c r="AF186" s="152"/>
      <c r="AG186" s="152"/>
      <c r="AH186" s="152"/>
      <c r="AI186" s="152"/>
      <c r="AJ186" s="152"/>
      <c r="AK186" s="152">
        <v>0</v>
      </c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1">
        <v>0</v>
      </c>
      <c r="AW186" s="3" t="s">
        <v>127</v>
      </c>
      <c r="AX186" s="151"/>
      <c r="AY186" s="151">
        <v>0</v>
      </c>
      <c r="AZ186" s="151"/>
      <c r="BA186" s="151"/>
      <c r="BB186" s="151"/>
      <c r="BC186" s="151"/>
      <c r="BD186" s="151"/>
      <c r="BE186" s="151"/>
      <c r="BF186" s="151"/>
      <c r="BG186" s="151"/>
      <c r="BH186" s="151"/>
      <c r="BI186" s="151"/>
      <c r="BJ186" s="151"/>
      <c r="BK186" s="151"/>
      <c r="BL186" s="151"/>
      <c r="BM186" s="151"/>
      <c r="BN186" s="151"/>
      <c r="BO186" s="151"/>
      <c r="BP186" s="151"/>
      <c r="BQ186" s="151"/>
      <c r="BR186" s="151"/>
      <c r="BS186" s="151"/>
      <c r="BT186" s="151"/>
      <c r="BU186" s="151"/>
      <c r="BV186" s="151"/>
      <c r="BW186" s="151"/>
      <c r="BX186" s="151"/>
      <c r="BY186" s="151"/>
      <c r="BZ186" s="151"/>
      <c r="CA186" s="151"/>
      <c r="CB186" s="151"/>
      <c r="CC186" s="151">
        <v>0</v>
      </c>
    </row>
    <row r="187" spans="22:81" x14ac:dyDescent="0.25">
      <c r="V187" s="3" t="s">
        <v>150</v>
      </c>
      <c r="W187" s="152"/>
      <c r="X187" s="152"/>
      <c r="Y187" s="152"/>
      <c r="Z187" s="152">
        <v>0</v>
      </c>
      <c r="AA187" s="152">
        <v>0</v>
      </c>
      <c r="AB187"/>
      <c r="AC187" s="3" t="s">
        <v>51</v>
      </c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>
        <v>0</v>
      </c>
      <c r="AT187" s="152"/>
      <c r="AU187" s="151">
        <v>0</v>
      </c>
      <c r="AW187" s="3" t="s">
        <v>51</v>
      </c>
      <c r="AX187" s="151"/>
      <c r="AY187" s="151"/>
      <c r="AZ187" s="151"/>
      <c r="BA187" s="151"/>
      <c r="BB187" s="151"/>
      <c r="BC187" s="151"/>
      <c r="BD187" s="151">
        <v>0</v>
      </c>
      <c r="BE187" s="151"/>
      <c r="BF187" s="151"/>
      <c r="BG187" s="151"/>
      <c r="BH187" s="151"/>
      <c r="BI187" s="151"/>
      <c r="BJ187" s="151"/>
      <c r="BK187" s="151"/>
      <c r="BL187" s="151"/>
      <c r="BM187" s="151"/>
      <c r="BN187" s="151"/>
      <c r="BO187" s="151"/>
      <c r="BP187" s="151"/>
      <c r="BQ187" s="151"/>
      <c r="BR187" s="151"/>
      <c r="BS187" s="151"/>
      <c r="BT187" s="151"/>
      <c r="BU187" s="151"/>
      <c r="BV187" s="151"/>
      <c r="BW187" s="151"/>
      <c r="BX187" s="151"/>
      <c r="BY187" s="151"/>
      <c r="BZ187" s="151"/>
      <c r="CA187" s="151"/>
      <c r="CB187" s="151"/>
      <c r="CC187" s="151">
        <v>0</v>
      </c>
    </row>
    <row r="188" spans="22:81" x14ac:dyDescent="0.25">
      <c r="V188" s="3" t="s">
        <v>124</v>
      </c>
      <c r="W188" s="152"/>
      <c r="X188" s="152"/>
      <c r="Y188" s="152">
        <v>0</v>
      </c>
      <c r="Z188" s="152">
        <v>0</v>
      </c>
      <c r="AA188" s="152">
        <v>0</v>
      </c>
      <c r="AB188"/>
      <c r="AC188" s="3" t="s">
        <v>212</v>
      </c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1"/>
      <c r="AW188" s="3" t="s">
        <v>212</v>
      </c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1"/>
      <c r="BK188" s="151"/>
      <c r="BL188" s="151"/>
      <c r="BM188" s="151"/>
      <c r="BN188" s="151"/>
      <c r="BO188" s="151"/>
      <c r="BP188" s="151"/>
      <c r="BQ188" s="151"/>
      <c r="BR188" s="151"/>
      <c r="BS188" s="151"/>
      <c r="BT188" s="151"/>
      <c r="BU188" s="151"/>
      <c r="BV188" s="151"/>
      <c r="BW188" s="151"/>
      <c r="BX188" s="151"/>
      <c r="BY188" s="151"/>
      <c r="BZ188" s="151"/>
      <c r="CA188" s="151"/>
      <c r="CB188" s="151"/>
      <c r="CC188" s="151"/>
    </row>
    <row r="189" spans="22:81" x14ac:dyDescent="0.25">
      <c r="V189" s="3" t="s">
        <v>53</v>
      </c>
      <c r="W189" s="152"/>
      <c r="X189" s="152">
        <v>0</v>
      </c>
      <c r="Y189" s="152"/>
      <c r="Z189" s="152"/>
      <c r="AA189" s="152">
        <v>0</v>
      </c>
      <c r="AB189"/>
      <c r="AC189" s="3" t="s">
        <v>171</v>
      </c>
      <c r="AD189" s="152"/>
      <c r="AE189" s="152"/>
      <c r="AF189" s="152">
        <v>0</v>
      </c>
      <c r="AG189" s="152">
        <v>0</v>
      </c>
      <c r="AH189" s="152">
        <v>0</v>
      </c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1">
        <v>0</v>
      </c>
      <c r="AW189" s="3" t="s">
        <v>171</v>
      </c>
      <c r="AX189" s="151"/>
      <c r="AY189" s="151"/>
      <c r="AZ189" s="151">
        <v>0</v>
      </c>
      <c r="BA189" s="151">
        <v>0</v>
      </c>
      <c r="BB189" s="151">
        <v>0</v>
      </c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1"/>
      <c r="BN189" s="151"/>
      <c r="BO189" s="151"/>
      <c r="BP189" s="151"/>
      <c r="BQ189" s="151"/>
      <c r="BR189" s="151"/>
      <c r="BS189" s="151"/>
      <c r="BT189" s="151"/>
      <c r="BU189" s="151"/>
      <c r="BV189" s="151"/>
      <c r="BW189" s="151"/>
      <c r="BX189" s="151"/>
      <c r="BY189" s="151"/>
      <c r="BZ189" s="151"/>
      <c r="CA189" s="151"/>
      <c r="CB189" s="151"/>
      <c r="CC189" s="151">
        <v>0</v>
      </c>
    </row>
    <row r="190" spans="22:81" x14ac:dyDescent="0.25">
      <c r="V190" s="3" t="s">
        <v>175</v>
      </c>
      <c r="W190" s="152"/>
      <c r="X190" s="152"/>
      <c r="Y190" s="152"/>
      <c r="Z190" s="152">
        <v>0</v>
      </c>
      <c r="AA190" s="152">
        <v>0</v>
      </c>
      <c r="AB190"/>
      <c r="AC190" s="3" t="s">
        <v>124</v>
      </c>
      <c r="AD190" s="152"/>
      <c r="AE190" s="152"/>
      <c r="AF190" s="152"/>
      <c r="AG190" s="152"/>
      <c r="AH190" s="152"/>
      <c r="AI190" s="152"/>
      <c r="AJ190" s="152">
        <v>0</v>
      </c>
      <c r="AK190" s="152">
        <v>0</v>
      </c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1">
        <v>0</v>
      </c>
      <c r="AW190" s="3" t="s">
        <v>124</v>
      </c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>
        <v>0</v>
      </c>
      <c r="BI190" s="151">
        <v>0</v>
      </c>
      <c r="BJ190" s="151"/>
      <c r="BK190" s="151"/>
      <c r="BL190" s="151"/>
      <c r="BM190" s="151"/>
      <c r="BN190" s="151"/>
      <c r="BO190" s="151"/>
      <c r="BP190" s="151"/>
      <c r="BQ190" s="151"/>
      <c r="BR190" s="151"/>
      <c r="BS190" s="151"/>
      <c r="BT190" s="151"/>
      <c r="BU190" s="151"/>
      <c r="BV190" s="151"/>
      <c r="BW190" s="151"/>
      <c r="BX190" s="151"/>
      <c r="BY190" s="151"/>
      <c r="BZ190" s="151"/>
      <c r="CA190" s="151"/>
      <c r="CB190" s="151"/>
      <c r="CC190" s="151">
        <v>0</v>
      </c>
    </row>
    <row r="191" spans="22:81" x14ac:dyDescent="0.25">
      <c r="V191" s="3" t="s">
        <v>126</v>
      </c>
      <c r="W191" s="152"/>
      <c r="X191" s="152"/>
      <c r="Y191" s="152">
        <v>0</v>
      </c>
      <c r="Z191" s="152"/>
      <c r="AA191" s="152">
        <v>0</v>
      </c>
      <c r="AB191"/>
      <c r="AC191" s="3" t="s">
        <v>150</v>
      </c>
      <c r="AD191" s="152"/>
      <c r="AE191" s="152"/>
      <c r="AF191" s="152"/>
      <c r="AG191" s="152">
        <v>0</v>
      </c>
      <c r="AH191" s="152">
        <v>0</v>
      </c>
      <c r="AI191" s="152">
        <v>0</v>
      </c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1">
        <v>0</v>
      </c>
      <c r="AW191" s="3" t="s">
        <v>150</v>
      </c>
      <c r="AX191" s="151"/>
      <c r="AY191" s="151">
        <v>0</v>
      </c>
      <c r="AZ191" s="151">
        <v>0</v>
      </c>
      <c r="BA191" s="151">
        <v>0</v>
      </c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1"/>
      <c r="BN191" s="151"/>
      <c r="BO191" s="151"/>
      <c r="BP191" s="151"/>
      <c r="BQ191" s="151"/>
      <c r="BR191" s="151"/>
      <c r="BS191" s="151"/>
      <c r="BT191" s="151"/>
      <c r="BU191" s="151"/>
      <c r="BV191" s="151"/>
      <c r="BW191" s="151"/>
      <c r="BX191" s="151"/>
      <c r="BY191" s="151"/>
      <c r="BZ191" s="151"/>
      <c r="CA191" s="151"/>
      <c r="CB191" s="151"/>
      <c r="CC191" s="151">
        <v>0</v>
      </c>
    </row>
    <row r="192" spans="22:81" x14ac:dyDescent="0.25">
      <c r="V192" s="3" t="s">
        <v>108</v>
      </c>
      <c r="W192" s="152"/>
      <c r="X192" s="152">
        <v>0</v>
      </c>
      <c r="Y192" s="152">
        <v>0</v>
      </c>
      <c r="Z192" s="152">
        <v>0</v>
      </c>
      <c r="AA192" s="152">
        <v>0</v>
      </c>
      <c r="AB192"/>
      <c r="AC192" s="3" t="s">
        <v>155</v>
      </c>
      <c r="AD192" s="152"/>
      <c r="AE192" s="152"/>
      <c r="AF192" s="152"/>
      <c r="AG192" s="152"/>
      <c r="AH192" s="152"/>
      <c r="AI192" s="152">
        <v>0</v>
      </c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1">
        <v>0</v>
      </c>
      <c r="AW192" s="3" t="s">
        <v>155</v>
      </c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>
        <v>0</v>
      </c>
      <c r="BJ192" s="151"/>
      <c r="BK192" s="151"/>
      <c r="BL192" s="151"/>
      <c r="BM192" s="151"/>
      <c r="BN192" s="151"/>
      <c r="BO192" s="151"/>
      <c r="BP192" s="151"/>
      <c r="BQ192" s="151"/>
      <c r="BR192" s="151"/>
      <c r="BS192" s="151"/>
      <c r="BT192" s="151"/>
      <c r="BU192" s="151"/>
      <c r="BV192" s="151"/>
      <c r="BW192" s="151"/>
      <c r="BX192" s="151"/>
      <c r="BY192" s="151"/>
      <c r="BZ192" s="151"/>
      <c r="CA192" s="151"/>
      <c r="CB192" s="151"/>
      <c r="CC192" s="151">
        <v>0</v>
      </c>
    </row>
    <row r="193" spans="22:81" x14ac:dyDescent="0.25">
      <c r="V193" s="3" t="s">
        <v>26</v>
      </c>
      <c r="W193" s="152"/>
      <c r="X193" s="152">
        <v>0</v>
      </c>
      <c r="Y193" s="152"/>
      <c r="Z193" s="152">
        <v>0</v>
      </c>
      <c r="AA193" s="152">
        <v>0</v>
      </c>
      <c r="AB193"/>
      <c r="AC193" s="3" t="s">
        <v>409</v>
      </c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>
        <v>0</v>
      </c>
      <c r="AU193" s="151">
        <v>0</v>
      </c>
      <c r="AW193" s="3" t="s">
        <v>409</v>
      </c>
      <c r="AX193" s="151"/>
      <c r="AY193" s="151"/>
      <c r="AZ193" s="151">
        <v>0</v>
      </c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1"/>
      <c r="BN193" s="151"/>
      <c r="BO193" s="151"/>
      <c r="BP193" s="151"/>
      <c r="BQ193" s="151"/>
      <c r="BR193" s="151"/>
      <c r="BS193" s="151"/>
      <c r="BT193" s="151"/>
      <c r="BU193" s="151"/>
      <c r="BV193" s="151"/>
      <c r="BW193" s="151"/>
      <c r="BX193" s="151"/>
      <c r="BY193" s="151"/>
      <c r="BZ193" s="151"/>
      <c r="CA193" s="151"/>
      <c r="CB193" s="151"/>
      <c r="CC193" s="151">
        <v>0</v>
      </c>
    </row>
    <row r="194" spans="22:81" x14ac:dyDescent="0.25">
      <c r="V194" s="3" t="s">
        <v>104</v>
      </c>
      <c r="W194" s="152">
        <v>0</v>
      </c>
      <c r="X194" s="152"/>
      <c r="Y194" s="152"/>
      <c r="Z194" s="152">
        <v>0</v>
      </c>
      <c r="AA194" s="152">
        <v>0</v>
      </c>
      <c r="AB194"/>
      <c r="AC194" s="3" t="s">
        <v>108</v>
      </c>
      <c r="AD194" s="152"/>
      <c r="AE194" s="152"/>
      <c r="AF194" s="152"/>
      <c r="AG194" s="152"/>
      <c r="AH194" s="152"/>
      <c r="AI194" s="152">
        <v>0</v>
      </c>
      <c r="AJ194" s="152">
        <v>0</v>
      </c>
      <c r="AK194" s="152">
        <v>0</v>
      </c>
      <c r="AL194" s="152">
        <v>0</v>
      </c>
      <c r="AM194" s="152">
        <v>0</v>
      </c>
      <c r="AN194" s="152"/>
      <c r="AO194" s="152"/>
      <c r="AP194" s="152"/>
      <c r="AQ194" s="152"/>
      <c r="AR194" s="152"/>
      <c r="AS194" s="152"/>
      <c r="AT194" s="152"/>
      <c r="AU194" s="151">
        <v>0</v>
      </c>
      <c r="AW194" s="3" t="s">
        <v>108</v>
      </c>
      <c r="AX194" s="151"/>
      <c r="AY194" s="151"/>
      <c r="AZ194" s="151">
        <v>0</v>
      </c>
      <c r="BA194" s="151">
        <v>0</v>
      </c>
      <c r="BB194" s="151">
        <v>0</v>
      </c>
      <c r="BC194" s="151">
        <v>0</v>
      </c>
      <c r="BD194" s="151">
        <v>0</v>
      </c>
      <c r="BE194" s="151"/>
      <c r="BF194" s="151"/>
      <c r="BG194" s="151"/>
      <c r="BH194" s="151"/>
      <c r="BI194" s="151"/>
      <c r="BJ194" s="151"/>
      <c r="BK194" s="151"/>
      <c r="BL194" s="151"/>
      <c r="BM194" s="151"/>
      <c r="BN194" s="151"/>
      <c r="BO194" s="151"/>
      <c r="BP194" s="151"/>
      <c r="BQ194" s="151"/>
      <c r="BR194" s="151"/>
      <c r="BS194" s="151"/>
      <c r="BT194" s="151"/>
      <c r="BU194" s="151"/>
      <c r="BV194" s="151"/>
      <c r="BW194" s="151"/>
      <c r="BX194" s="151"/>
      <c r="BY194" s="151"/>
      <c r="BZ194" s="151"/>
      <c r="CA194" s="151"/>
      <c r="CB194" s="151"/>
      <c r="CC194" s="151">
        <v>0</v>
      </c>
    </row>
    <row r="195" spans="22:81" x14ac:dyDescent="0.25">
      <c r="V195" s="3" t="s">
        <v>95</v>
      </c>
      <c r="W195" s="152"/>
      <c r="X195" s="152">
        <v>0</v>
      </c>
      <c r="Y195" s="152"/>
      <c r="Z195" s="152"/>
      <c r="AA195" s="152">
        <v>0</v>
      </c>
      <c r="AB195"/>
      <c r="AC195" s="3" t="s">
        <v>126</v>
      </c>
      <c r="AD195" s="152"/>
      <c r="AE195" s="152"/>
      <c r="AF195" s="152"/>
      <c r="AG195" s="152"/>
      <c r="AH195" s="152"/>
      <c r="AI195" s="152"/>
      <c r="AJ195" s="152"/>
      <c r="AK195" s="152">
        <v>0</v>
      </c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1">
        <v>0</v>
      </c>
      <c r="AW195" s="3" t="s">
        <v>126</v>
      </c>
      <c r="AX195" s="151"/>
      <c r="AY195" s="151"/>
      <c r="AZ195" s="151"/>
      <c r="BA195" s="151"/>
      <c r="BB195" s="151"/>
      <c r="BC195" s="151"/>
      <c r="BD195" s="151">
        <v>0</v>
      </c>
      <c r="BE195" s="151"/>
      <c r="BF195" s="151"/>
      <c r="BG195" s="151"/>
      <c r="BH195" s="151"/>
      <c r="BI195" s="151"/>
      <c r="BJ195" s="151"/>
      <c r="BK195" s="151"/>
      <c r="BL195" s="151"/>
      <c r="BM195" s="151"/>
      <c r="BN195" s="151"/>
      <c r="BO195" s="151"/>
      <c r="BP195" s="151"/>
      <c r="BQ195" s="151"/>
      <c r="BR195" s="151"/>
      <c r="BS195" s="151"/>
      <c r="BT195" s="151"/>
      <c r="BU195" s="151"/>
      <c r="BV195" s="151"/>
      <c r="BW195" s="151"/>
      <c r="BX195" s="151"/>
      <c r="BY195" s="151"/>
      <c r="BZ195" s="151"/>
      <c r="CA195" s="151"/>
      <c r="CB195" s="151"/>
      <c r="CC195" s="151">
        <v>0</v>
      </c>
    </row>
    <row r="196" spans="22:81" x14ac:dyDescent="0.25">
      <c r="V196" s="3" t="s">
        <v>200</v>
      </c>
      <c r="W196" s="152"/>
      <c r="X196" s="152"/>
      <c r="Y196" s="152">
        <v>0</v>
      </c>
      <c r="Z196" s="152"/>
      <c r="AA196" s="152">
        <v>0</v>
      </c>
      <c r="AB196"/>
      <c r="AC196" s="3" t="s">
        <v>41</v>
      </c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>
        <v>0</v>
      </c>
      <c r="AP196" s="152">
        <v>0</v>
      </c>
      <c r="AQ196" s="152"/>
      <c r="AR196" s="152">
        <v>0</v>
      </c>
      <c r="AS196" s="152">
        <v>0</v>
      </c>
      <c r="AT196" s="152">
        <v>0</v>
      </c>
      <c r="AU196" s="151">
        <v>0</v>
      </c>
      <c r="AW196" s="3" t="s">
        <v>41</v>
      </c>
      <c r="AX196" s="151"/>
      <c r="AY196" s="151"/>
      <c r="AZ196" s="151"/>
      <c r="BA196" s="151">
        <v>0</v>
      </c>
      <c r="BB196" s="151">
        <v>0</v>
      </c>
      <c r="BC196" s="151"/>
      <c r="BD196" s="151">
        <v>0</v>
      </c>
      <c r="BE196" s="151">
        <v>0</v>
      </c>
      <c r="BF196" s="151">
        <v>0</v>
      </c>
      <c r="BG196" s="151"/>
      <c r="BH196" s="151"/>
      <c r="BI196" s="151"/>
      <c r="BJ196" s="151"/>
      <c r="BK196" s="151"/>
      <c r="BL196" s="151"/>
      <c r="BM196" s="151"/>
      <c r="BN196" s="151"/>
      <c r="BO196" s="151"/>
      <c r="BP196" s="151"/>
      <c r="BQ196" s="151"/>
      <c r="BR196" s="151"/>
      <c r="BS196" s="151"/>
      <c r="BT196" s="151"/>
      <c r="BU196" s="151"/>
      <c r="BV196" s="151"/>
      <c r="BW196" s="151"/>
      <c r="BX196" s="151"/>
      <c r="BY196" s="151"/>
      <c r="BZ196" s="151"/>
      <c r="CA196" s="151"/>
      <c r="CB196" s="151"/>
      <c r="CC196" s="151">
        <v>0</v>
      </c>
    </row>
    <row r="197" spans="22:81" x14ac:dyDescent="0.25">
      <c r="V197" s="3" t="s">
        <v>31</v>
      </c>
      <c r="W197" s="152">
        <v>0</v>
      </c>
      <c r="X197" s="152">
        <v>0</v>
      </c>
      <c r="Y197" s="152"/>
      <c r="Z197" s="152">
        <v>0</v>
      </c>
      <c r="AA197" s="152">
        <v>0</v>
      </c>
      <c r="AB197"/>
      <c r="AC197" s="3" t="s">
        <v>26</v>
      </c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>
        <v>0</v>
      </c>
      <c r="AR197" s="152">
        <v>0</v>
      </c>
      <c r="AS197" s="152">
        <v>0</v>
      </c>
      <c r="AT197" s="152">
        <v>0</v>
      </c>
      <c r="AU197" s="151">
        <v>0</v>
      </c>
      <c r="AW197" s="3" t="s">
        <v>26</v>
      </c>
      <c r="AX197" s="151"/>
      <c r="AY197" s="151"/>
      <c r="AZ197" s="151"/>
      <c r="BA197" s="151">
        <v>0</v>
      </c>
      <c r="BB197" s="151">
        <v>0</v>
      </c>
      <c r="BC197" s="151">
        <v>0</v>
      </c>
      <c r="BD197" s="151">
        <v>0</v>
      </c>
      <c r="BE197" s="151"/>
      <c r="BF197" s="151"/>
      <c r="BG197" s="151"/>
      <c r="BH197" s="151"/>
      <c r="BI197" s="151"/>
      <c r="BJ197" s="151"/>
      <c r="BK197" s="151"/>
      <c r="BL197" s="151"/>
      <c r="BM197" s="151"/>
      <c r="BN197" s="151"/>
      <c r="BO197" s="151"/>
      <c r="BP197" s="151"/>
      <c r="BQ197" s="151"/>
      <c r="BR197" s="151"/>
      <c r="BS197" s="151"/>
      <c r="BT197" s="151"/>
      <c r="BU197" s="151"/>
      <c r="BV197" s="151"/>
      <c r="BW197" s="151"/>
      <c r="BX197" s="151"/>
      <c r="BY197" s="151"/>
      <c r="BZ197" s="151"/>
      <c r="CA197" s="151"/>
      <c r="CB197" s="151"/>
      <c r="CC197" s="151">
        <v>0</v>
      </c>
    </row>
    <row r="198" spans="22:81" x14ac:dyDescent="0.25">
      <c r="V198" s="3" t="s">
        <v>155</v>
      </c>
      <c r="W198" s="152"/>
      <c r="X198" s="152"/>
      <c r="Y198" s="152"/>
      <c r="Z198" s="152">
        <v>0</v>
      </c>
      <c r="AA198" s="152">
        <v>0</v>
      </c>
      <c r="AB198"/>
      <c r="AC198" s="3" t="s">
        <v>95</v>
      </c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>
        <v>0</v>
      </c>
      <c r="AP198" s="152"/>
      <c r="AQ198" s="152"/>
      <c r="AR198" s="152"/>
      <c r="AS198" s="152"/>
      <c r="AT198" s="152"/>
      <c r="AU198" s="151">
        <v>0</v>
      </c>
      <c r="AW198" s="3" t="s">
        <v>95</v>
      </c>
      <c r="AX198" s="151"/>
      <c r="AY198" s="151"/>
      <c r="AZ198" s="151"/>
      <c r="BA198" s="151">
        <v>0</v>
      </c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  <c r="BY198" s="151"/>
      <c r="BZ198" s="151"/>
      <c r="CA198" s="151"/>
      <c r="CB198" s="151"/>
      <c r="CC198" s="151">
        <v>0</v>
      </c>
    </row>
    <row r="199" spans="22:81" x14ac:dyDescent="0.25">
      <c r="V199" s="3" t="s">
        <v>102</v>
      </c>
      <c r="W199" s="152">
        <v>0</v>
      </c>
      <c r="X199" s="152">
        <v>0</v>
      </c>
      <c r="Y199" s="152">
        <v>0</v>
      </c>
      <c r="Z199" s="152"/>
      <c r="AA199" s="152">
        <v>0</v>
      </c>
      <c r="AB199"/>
      <c r="AC199" s="3" t="s">
        <v>142</v>
      </c>
      <c r="AD199" s="152"/>
      <c r="AE199" s="152"/>
      <c r="AF199" s="152"/>
      <c r="AG199" s="152"/>
      <c r="AH199" s="152"/>
      <c r="AI199" s="152"/>
      <c r="AJ199" s="152">
        <v>0</v>
      </c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1">
        <v>0</v>
      </c>
      <c r="AW199" s="3" t="s">
        <v>142</v>
      </c>
      <c r="AX199" s="151"/>
      <c r="AY199" s="151"/>
      <c r="AZ199" s="151"/>
      <c r="BA199" s="151"/>
      <c r="BB199" s="151">
        <v>0</v>
      </c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151"/>
      <c r="BQ199" s="151"/>
      <c r="BR199" s="151"/>
      <c r="BS199" s="151"/>
      <c r="BT199" s="151"/>
      <c r="BU199" s="151"/>
      <c r="BV199" s="151"/>
      <c r="BW199" s="151"/>
      <c r="BX199" s="151"/>
      <c r="BY199" s="151"/>
      <c r="BZ199" s="151"/>
      <c r="CA199" s="151"/>
      <c r="CB199" s="151"/>
      <c r="CC199" s="151">
        <v>0</v>
      </c>
    </row>
    <row r="200" spans="22:81" x14ac:dyDescent="0.25">
      <c r="V200" s="3" t="s">
        <v>385</v>
      </c>
      <c r="W200" s="152">
        <v>10</v>
      </c>
      <c r="X200" s="152">
        <v>495</v>
      </c>
      <c r="Y200" s="152">
        <v>127</v>
      </c>
      <c r="Z200" s="152">
        <v>311</v>
      </c>
      <c r="AA200" s="152">
        <v>943</v>
      </c>
      <c r="AC200" s="3" t="s">
        <v>385</v>
      </c>
      <c r="AD200" s="152">
        <v>40</v>
      </c>
      <c r="AE200" s="152">
        <v>31</v>
      </c>
      <c r="AF200" s="152">
        <v>18</v>
      </c>
      <c r="AG200" s="152">
        <v>33</v>
      </c>
      <c r="AH200" s="152">
        <v>58</v>
      </c>
      <c r="AI200" s="152">
        <v>120</v>
      </c>
      <c r="AJ200" s="152">
        <v>56</v>
      </c>
      <c r="AK200" s="152">
        <v>56</v>
      </c>
      <c r="AL200" s="152">
        <v>73</v>
      </c>
      <c r="AM200" s="152">
        <v>122</v>
      </c>
      <c r="AN200" s="152">
        <v>10</v>
      </c>
      <c r="AO200" s="152">
        <v>28</v>
      </c>
      <c r="AP200" s="152">
        <v>110</v>
      </c>
      <c r="AQ200" s="152">
        <v>47</v>
      </c>
      <c r="AR200" s="152">
        <v>106</v>
      </c>
      <c r="AS200" s="152">
        <v>9</v>
      </c>
      <c r="AT200" s="152">
        <v>26</v>
      </c>
      <c r="AU200" s="151">
        <v>943</v>
      </c>
      <c r="AW200" s="3" t="s">
        <v>385</v>
      </c>
      <c r="AX200" s="151">
        <v>0</v>
      </c>
      <c r="AY200" s="151">
        <v>11</v>
      </c>
      <c r="AZ200" s="151">
        <v>53</v>
      </c>
      <c r="BA200" s="151">
        <v>46</v>
      </c>
      <c r="BB200" s="151">
        <v>63</v>
      </c>
      <c r="BC200" s="151">
        <v>104</v>
      </c>
      <c r="BD200" s="151">
        <v>98</v>
      </c>
      <c r="BE200" s="151">
        <v>66</v>
      </c>
      <c r="BF200" s="151">
        <v>54</v>
      </c>
      <c r="BG200" s="151">
        <v>40</v>
      </c>
      <c r="BH200" s="151">
        <v>29</v>
      </c>
      <c r="BI200" s="151">
        <v>17</v>
      </c>
      <c r="BJ200" s="151">
        <v>59</v>
      </c>
      <c r="BK200" s="151">
        <v>26</v>
      </c>
      <c r="BL200" s="151">
        <v>20</v>
      </c>
      <c r="BM200" s="151">
        <v>25</v>
      </c>
      <c r="BN200" s="151">
        <v>15</v>
      </c>
      <c r="BO200" s="151">
        <v>5</v>
      </c>
      <c r="BP200" s="151">
        <v>29</v>
      </c>
      <c r="BQ200" s="151">
        <v>21</v>
      </c>
      <c r="BR200" s="151">
        <v>54</v>
      </c>
      <c r="BS200" s="151">
        <v>56</v>
      </c>
      <c r="BT200" s="151">
        <v>18</v>
      </c>
      <c r="BU200" s="151">
        <v>34</v>
      </c>
      <c r="BV200" s="151">
        <v>0</v>
      </c>
      <c r="BW200" s="151">
        <v>0</v>
      </c>
      <c r="BX200" s="151">
        <v>0</v>
      </c>
      <c r="BY200" s="151">
        <v>0</v>
      </c>
      <c r="BZ200" s="151">
        <v>0</v>
      </c>
      <c r="CA200" s="151">
        <v>0</v>
      </c>
      <c r="CB200" s="151">
        <v>0</v>
      </c>
      <c r="CC200" s="151">
        <v>943</v>
      </c>
    </row>
    <row r="201" spans="22:81" x14ac:dyDescent="0.25">
      <c r="AC201"/>
    </row>
    <row r="202" spans="22:81" x14ac:dyDescent="0.25">
      <c r="AC202"/>
    </row>
    <row r="203" spans="22:81" x14ac:dyDescent="0.25">
      <c r="AC203"/>
    </row>
  </sheetData>
  <conditionalFormatting sqref="C11:F11 H11:N11">
    <cfRule type="cellIs" dxfId="32" priority="21" operator="equal">
      <formula>2021</formula>
    </cfRule>
  </conditionalFormatting>
  <conditionalFormatting sqref="J11">
    <cfRule type="cellIs" dxfId="31" priority="19" operator="between">
      <formula>0.5</formula>
      <formula>10</formula>
    </cfRule>
  </conditionalFormatting>
  <conditionalFormatting sqref="K11:L11">
    <cfRule type="cellIs" dxfId="30" priority="18" operator="between">
      <formula>0.5</formula>
      <formula>10</formula>
    </cfRule>
  </conditionalFormatting>
  <conditionalFormatting sqref="G12:G116">
    <cfRule type="cellIs" dxfId="29" priority="16" operator="equal">
      <formula>2026</formula>
    </cfRule>
  </conditionalFormatting>
  <conditionalFormatting pivot="1" sqref="W12:W200">
    <cfRule type="colorScale" priority="15">
      <colorScale>
        <cfvo type="min"/>
        <cfvo type="max"/>
        <color rgb="FFFCFCFF"/>
        <color rgb="FF63BE7B"/>
      </colorScale>
    </cfRule>
  </conditionalFormatting>
  <conditionalFormatting pivot="1" sqref="X12:X200">
    <cfRule type="colorScale" priority="14">
      <colorScale>
        <cfvo type="min"/>
        <cfvo type="max"/>
        <color rgb="FFFCFCFF"/>
        <color rgb="FF63BE7B"/>
      </colorScale>
    </cfRule>
  </conditionalFormatting>
  <conditionalFormatting pivot="1" sqref="W12:W135 W137:W199">
    <cfRule type="colorScale" priority="13">
      <colorScale>
        <cfvo type="min"/>
        <cfvo type="max"/>
        <color rgb="FFFCFCFF"/>
        <color rgb="FF63BE7B"/>
      </colorScale>
    </cfRule>
  </conditionalFormatting>
  <conditionalFormatting pivot="1" sqref="X12:X135 X137:X199">
    <cfRule type="colorScale" priority="12">
      <colorScale>
        <cfvo type="min"/>
        <cfvo type="max"/>
        <color rgb="FFFCFCFF"/>
        <color rgb="FF63BE7B"/>
      </colorScale>
    </cfRule>
  </conditionalFormatting>
  <conditionalFormatting pivot="1" sqref="Y12:Y135 Y137:Y199">
    <cfRule type="colorScale" priority="11">
      <colorScale>
        <cfvo type="min"/>
        <cfvo type="max"/>
        <color rgb="FFFCFCFF"/>
        <color rgb="FF63BE7B"/>
      </colorScale>
    </cfRule>
  </conditionalFormatting>
  <conditionalFormatting pivot="1" sqref="Z12:Z135 Z137:Z199">
    <cfRule type="colorScale" priority="10">
      <colorScale>
        <cfvo type="min"/>
        <cfvo type="max"/>
        <color rgb="FFFCFCFF"/>
        <color rgb="FF63BE7B"/>
      </colorScale>
    </cfRule>
  </conditionalFormatting>
  <conditionalFormatting pivot="1" sqref="AA12:AA135 AA137:AA199">
    <cfRule type="colorScale" priority="9">
      <colorScale>
        <cfvo type="min"/>
        <cfvo type="max"/>
        <color rgb="FFFCFCFF"/>
        <color rgb="FF63BE7B"/>
      </colorScale>
    </cfRule>
  </conditionalFormatting>
  <conditionalFormatting sqref="Q12:T116">
    <cfRule type="cellIs" dxfId="28" priority="8" operator="equal">
      <formula>0</formula>
    </cfRule>
  </conditionalFormatting>
  <conditionalFormatting sqref="Q12:Q116">
    <cfRule type="colorScale" priority="7">
      <colorScale>
        <cfvo type="min"/>
        <cfvo type="max"/>
        <color rgb="FFFCFCFF"/>
        <color rgb="FF63BE7B"/>
      </colorScale>
    </cfRule>
  </conditionalFormatting>
  <conditionalFormatting sqref="R12:R116">
    <cfRule type="colorScale" priority="6">
      <colorScale>
        <cfvo type="min"/>
        <cfvo type="max"/>
        <color rgb="FFFCFCFF"/>
        <color rgb="FF63BE7B"/>
      </colorScale>
    </cfRule>
  </conditionalFormatting>
  <conditionalFormatting sqref="S12:S116">
    <cfRule type="colorScale" priority="5">
      <colorScale>
        <cfvo type="min"/>
        <cfvo type="max"/>
        <color rgb="FFFCFCFF"/>
        <color rgb="FF63BE7B"/>
      </colorScale>
    </cfRule>
  </conditionalFormatting>
  <conditionalFormatting sqref="T12:T116">
    <cfRule type="colorScale" priority="4">
      <colorScale>
        <cfvo type="min"/>
        <cfvo type="max"/>
        <color rgb="FFFCFCFF"/>
        <color rgb="FF63BE7B"/>
      </colorScale>
    </cfRule>
  </conditionalFormatting>
  <conditionalFormatting pivot="1" sqref="AD12:AT2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D12:AT200">
    <cfRule type="cellIs" dxfId="27" priority="2" operator="equal">
      <formula>0</formula>
    </cfRule>
  </conditionalFormatting>
  <conditionalFormatting pivot="1" sqref="AX12:CB200">
    <cfRule type="cellIs" dxfId="26" priority="1" operator="equal">
      <formula>0</formula>
    </cfRule>
  </conditionalFormatting>
  <pageMargins left="0.7" right="0.7" top="0.75" bottom="0.75" header="0.3" footer="0.3"/>
  <drawing r:id="rId4"/>
  <tableParts count="1">
    <tablePart r:id="rId5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6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7DB0-C31C-4A70-862A-B46D35F41519}">
  <dimension ref="A14:AU704"/>
  <sheetViews>
    <sheetView zoomScaleNormal="100" workbookViewId="0">
      <pane xSplit="3" ySplit="14" topLeftCell="D41" activePane="bottomRight" state="frozen"/>
      <selection pane="topRight" activeCell="D1" sqref="D1"/>
      <selection pane="bottomLeft" activeCell="A8" sqref="A8"/>
      <selection pane="bottomRight" activeCell="V8" sqref="V8"/>
    </sheetView>
  </sheetViews>
  <sheetFormatPr defaultColWidth="9" defaultRowHeight="10.8" x14ac:dyDescent="0.25"/>
  <cols>
    <col min="1" max="2" width="5.42578125" style="97" customWidth="1"/>
    <col min="3" max="3" width="8.42578125" style="127" bestFit="1" customWidth="1"/>
    <col min="4" max="4" width="9.85546875" style="119" bestFit="1" customWidth="1"/>
    <col min="5" max="6" width="23" style="116" customWidth="1"/>
    <col min="7" max="8" width="6.7109375" style="97" customWidth="1"/>
    <col min="9" max="9" width="6.7109375" style="120" customWidth="1"/>
    <col min="10" max="11" width="6.7109375" style="97" customWidth="1"/>
    <col min="12" max="12" width="6.7109375" style="116" customWidth="1"/>
    <col min="13" max="15" width="4.7109375" style="97" customWidth="1"/>
    <col min="16" max="16" width="9.140625" style="116" customWidth="1"/>
    <col min="17" max="17" width="9" style="97"/>
    <col min="18" max="22" width="6.5703125" style="97" customWidth="1"/>
    <col min="23" max="23" width="6.5703125" style="101" customWidth="1"/>
    <col min="24" max="29" width="6.5703125" style="97" customWidth="1"/>
    <col min="30" max="30" width="9" style="116"/>
    <col min="31" max="31" width="24.5703125" style="116" bestFit="1" customWidth="1"/>
    <col min="32" max="32" width="5.7109375" style="97" customWidth="1"/>
    <col min="33" max="33" width="5.7109375" style="121" customWidth="1"/>
    <col min="34" max="35" width="5.7109375" style="97" customWidth="1"/>
    <col min="36" max="41" width="5.7109375" style="124" customWidth="1"/>
    <col min="42" max="47" width="5.7109375" style="97" customWidth="1"/>
    <col min="48" max="16384" width="9" style="116"/>
  </cols>
  <sheetData>
    <row r="14" spans="1:47" ht="49.95" customHeight="1" x14ac:dyDescent="0.25">
      <c r="A14" s="111" t="s">
        <v>230</v>
      </c>
      <c r="B14" s="111" t="s">
        <v>227</v>
      </c>
      <c r="C14" s="112" t="s">
        <v>0</v>
      </c>
      <c r="D14" s="113" t="s">
        <v>406</v>
      </c>
      <c r="E14" s="114" t="s">
        <v>407</v>
      </c>
      <c r="F14" s="114" t="s">
        <v>408</v>
      </c>
      <c r="G14" s="111" t="s">
        <v>231</v>
      </c>
      <c r="H14" s="111" t="s">
        <v>232</v>
      </c>
      <c r="I14" s="115" t="s">
        <v>233</v>
      </c>
      <c r="J14" s="111" t="s">
        <v>211</v>
      </c>
      <c r="K14" s="111" t="s">
        <v>234</v>
      </c>
      <c r="L14" s="114" t="s">
        <v>235</v>
      </c>
      <c r="M14" s="111" t="s">
        <v>236</v>
      </c>
      <c r="N14" s="111" t="s">
        <v>237</v>
      </c>
      <c r="O14" s="111" t="s">
        <v>238</v>
      </c>
      <c r="Q14" s="111" t="s">
        <v>0</v>
      </c>
      <c r="R14" s="111" t="s">
        <v>219</v>
      </c>
      <c r="S14" s="111" t="s">
        <v>239</v>
      </c>
      <c r="T14" s="111" t="s">
        <v>240</v>
      </c>
      <c r="U14" s="111" t="s">
        <v>241</v>
      </c>
      <c r="V14" s="111" t="s">
        <v>242</v>
      </c>
      <c r="W14" s="117" t="s">
        <v>227</v>
      </c>
      <c r="X14" s="111" t="s">
        <v>236</v>
      </c>
      <c r="Y14" s="111" t="s">
        <v>237</v>
      </c>
      <c r="Z14" s="111" t="s">
        <v>238</v>
      </c>
      <c r="AA14" s="111" t="s">
        <v>243</v>
      </c>
      <c r="AB14" s="111" t="s">
        <v>244</v>
      </c>
      <c r="AC14" s="111" t="s">
        <v>245</v>
      </c>
      <c r="AE14" s="118" t="s">
        <v>249</v>
      </c>
      <c r="AF14" s="131" t="s">
        <v>250</v>
      </c>
      <c r="AG14" s="132" t="s">
        <v>251</v>
      </c>
      <c r="AH14" s="133" t="s">
        <v>241</v>
      </c>
      <c r="AI14" s="133" t="s">
        <v>252</v>
      </c>
      <c r="AJ14" s="134" t="s">
        <v>413</v>
      </c>
      <c r="AK14" s="134" t="s">
        <v>423</v>
      </c>
      <c r="AL14" s="134" t="s">
        <v>424</v>
      </c>
      <c r="AM14" s="134" t="s">
        <v>420</v>
      </c>
      <c r="AN14" s="134" t="s">
        <v>421</v>
      </c>
      <c r="AO14" s="134" t="s">
        <v>422</v>
      </c>
      <c r="AP14" s="133" t="s">
        <v>414</v>
      </c>
      <c r="AQ14" s="133" t="s">
        <v>415</v>
      </c>
      <c r="AR14" s="133" t="s">
        <v>416</v>
      </c>
      <c r="AS14" s="133" t="s">
        <v>417</v>
      </c>
      <c r="AT14" s="133" t="s">
        <v>418</v>
      </c>
      <c r="AU14" s="133" t="s">
        <v>419</v>
      </c>
    </row>
    <row r="15" spans="1:47" x14ac:dyDescent="0.25">
      <c r="A15" s="97">
        <v>1</v>
      </c>
      <c r="B15" s="97">
        <v>3</v>
      </c>
      <c r="C15" s="101">
        <v>2011</v>
      </c>
      <c r="D15" s="119">
        <v>40649</v>
      </c>
      <c r="E15" s="116" t="s">
        <v>253</v>
      </c>
      <c r="F15" s="116" t="s">
        <v>254</v>
      </c>
      <c r="G15" s="97">
        <v>5</v>
      </c>
      <c r="H15" s="97">
        <v>0</v>
      </c>
      <c r="I15" s="120">
        <v>-5</v>
      </c>
      <c r="J15" s="97">
        <v>5</v>
      </c>
      <c r="L15" s="97"/>
      <c r="O15" s="97">
        <v>1</v>
      </c>
      <c r="Q15" s="97">
        <v>2011</v>
      </c>
      <c r="R15" s="97">
        <f>COUNTIF(C:C,Tabell21[[#This Row],[ÅR]])</f>
        <v>22</v>
      </c>
      <c r="S15" s="97">
        <f>SUMIF(C:C,Tabell21[[#This Row],[ÅR]],L:L)</f>
        <v>15</v>
      </c>
      <c r="T15" s="102">
        <f>IFERROR(Tabell21[[#This Row],[ANTAL MATCHER GM MÅL]]/Tabell21[[#This Row],[ANTAL MATCHER]],"")</f>
        <v>0.68181818181818177</v>
      </c>
      <c r="U15" s="121">
        <f>SUMIF(C:C,Tabell21[[#This Row],[ÅR]],I:I)</f>
        <v>-18</v>
      </c>
      <c r="V15" s="122">
        <f>IFERROR(Tabell21[[#This Row],[MS]]/Tabell21[[#This Row],[ANTAL MATCHER]],"")</f>
        <v>-0.81818181818181823</v>
      </c>
      <c r="W15" s="101">
        <f>IFERROR(VLOOKUP(Tabell21[[#This Row],[ÅR]],'ALLA ÅR'!A:M,13,0),"")</f>
        <v>3</v>
      </c>
      <c r="X15" s="97">
        <v>4</v>
      </c>
      <c r="Y15" s="97">
        <v>10</v>
      </c>
      <c r="Z15" s="97">
        <v>8</v>
      </c>
      <c r="AA15" s="123">
        <f>IFERROR(Tabell21[[#This Row],[V]]/Tabell21[[#This Row],[ANTAL MATCHER]],"")</f>
        <v>0.18181818181818182</v>
      </c>
      <c r="AB15" s="123">
        <f>IFERROR(Tabell21[[#This Row],[O]]/Tabell21[[#This Row],[ANTAL MATCHER]],"")</f>
        <v>0.45454545454545453</v>
      </c>
      <c r="AC15" s="123">
        <f>IFERROR(Tabell21[[#This Row],[F]]/Tabell21[[#This Row],[ANTAL MATCHER]],"")</f>
        <v>0.36363636363636365</v>
      </c>
      <c r="AE15" s="116" t="s">
        <v>257</v>
      </c>
      <c r="AF15" s="121">
        <f>COUNTIF(E:F,Tabell32[[#This Row],[MOTSTÅNDARE]])</f>
        <v>10</v>
      </c>
      <c r="AG15" s="121">
        <f>Tabell32[[#This Row],[MS]]+Tabell32[[#This Row],[MS2]]</f>
        <v>26</v>
      </c>
      <c r="AH15" s="121">
        <f>SUMIF(E:E,Tabell32[[#This Row],[MOTSTÅNDARE]],I:I)</f>
        <v>8</v>
      </c>
      <c r="AI15" s="121">
        <f>SUMIF(F:F,Tabell32[[#This Row],[MOTSTÅNDARE]],I:I)</f>
        <v>18</v>
      </c>
      <c r="AJ15" s="124">
        <f>Tabell32[[#This Row],[MS ÅHUS IF]]/Tabell32[[#This Row],[ÅHUS MATCHER]]</f>
        <v>2.6</v>
      </c>
      <c r="AK15" s="121">
        <f>(Tabell32[[#This Row],[VINST]]*3)+Tabell32[[#This Row],[OAVGJORT]]</f>
        <v>23</v>
      </c>
      <c r="AL15" s="124">
        <f>Tabell32[[#This Row],[POÄNG]]/Tabell32[[#This Row],[ÅHUS MATCHER]]</f>
        <v>2.2999999999999998</v>
      </c>
      <c r="AM15" s="121">
        <f>IFERROR(Tabell32[[#This Row],[V H]]+Tabell32[[#This Row],[V B]],"0")</f>
        <v>7</v>
      </c>
      <c r="AN15" s="121">
        <f>IFERROR(Tabell32[[#This Row],[O H]]+Tabell32[[#This Row],[O B]],"0")</f>
        <v>2</v>
      </c>
      <c r="AO15" s="121">
        <f>IFERROR(Tabell32[[#This Row],[F H]]+Tabell32[[#This Row],[F B]],"0")</f>
        <v>1</v>
      </c>
      <c r="AP15" s="121">
        <f>SUMIF(MATCHHISTORIK[BORTALAG],Tabell32[[#This Row],[MOTSTÅNDARE]],MATCHHISTORIK[V])</f>
        <v>5</v>
      </c>
      <c r="AQ15" s="121">
        <f>SUMIF(MATCHHISTORIK[BORTALAG],Tabell32[[#This Row],[MOTSTÅNDARE]],MATCHHISTORIK[O])</f>
        <v>0</v>
      </c>
      <c r="AR15" s="97">
        <f>SUMIF(MATCHHISTORIK[BORTALAG],Tabell32[[#This Row],[MOTSTÅNDARE]],MATCHHISTORIK[F])</f>
        <v>0</v>
      </c>
      <c r="AS15" s="97">
        <f>SUMIF(MATCHHISTORIK[HEMMALAG],Tabell32[[#This Row],[MOTSTÅNDARE]],MATCHHISTORIK[V])</f>
        <v>2</v>
      </c>
      <c r="AT15" s="97">
        <f>SUMIF(MATCHHISTORIK[HEMMALAG],Tabell32[[#This Row],[MOTSTÅNDARE]],MATCHHISTORIK[O])</f>
        <v>2</v>
      </c>
      <c r="AU15" s="97">
        <f>SUMIF(MATCHHISTORIK[HEMMALAG],Tabell32[[#This Row],[MOTSTÅNDARE]],MATCHHISTORIK[F])</f>
        <v>1</v>
      </c>
    </row>
    <row r="16" spans="1:47" x14ac:dyDescent="0.25">
      <c r="A16" s="97">
        <v>2</v>
      </c>
      <c r="B16" s="97">
        <v>3</v>
      </c>
      <c r="C16" s="101">
        <v>2011</v>
      </c>
      <c r="D16" s="119">
        <v>40657</v>
      </c>
      <c r="E16" s="116" t="s">
        <v>254</v>
      </c>
      <c r="F16" s="116" t="s">
        <v>256</v>
      </c>
      <c r="G16" s="97">
        <v>0</v>
      </c>
      <c r="H16" s="97">
        <v>1</v>
      </c>
      <c r="I16" s="120">
        <v>-1</v>
      </c>
      <c r="J16" s="97">
        <v>1</v>
      </c>
      <c r="L16" s="97"/>
      <c r="O16" s="97">
        <v>1</v>
      </c>
      <c r="Q16" s="97">
        <v>2012</v>
      </c>
      <c r="R16" s="97">
        <f>COUNTIF(C:C,Tabell21[[#This Row],[ÅR]])</f>
        <v>18</v>
      </c>
      <c r="S16" s="97">
        <f>SUMIF(C:C,Tabell21[[#This Row],[ÅR]],L:L)</f>
        <v>11</v>
      </c>
      <c r="T16" s="102">
        <f>IFERROR(Tabell21[[#This Row],[ANTAL MATCHER GM MÅL]]/Tabell21[[#This Row],[ANTAL MATCHER]],"")</f>
        <v>0.61111111111111116</v>
      </c>
      <c r="U16" s="121">
        <f>SUMIF(C:C,Tabell21[[#This Row],[ÅR]],I:I)</f>
        <v>-50</v>
      </c>
      <c r="V16" s="122">
        <f>IFERROR(Tabell21[[#This Row],[MS]]/Tabell21[[#This Row],[ANTAL MATCHER]],"")</f>
        <v>-2.7777777777777777</v>
      </c>
      <c r="W16" s="101">
        <f>IFERROR(VLOOKUP(Tabell21[[#This Row],[ÅR]],'ALLA ÅR'!A:M,13,0),"")</f>
        <v>4</v>
      </c>
      <c r="X16" s="97">
        <v>1</v>
      </c>
      <c r="Y16" s="97">
        <v>2</v>
      </c>
      <c r="Z16" s="97">
        <v>15</v>
      </c>
      <c r="AA16" s="123">
        <f>IFERROR(Tabell21[[#This Row],[V]]/Tabell21[[#This Row],[ANTAL MATCHER]],"")</f>
        <v>5.5555555555555552E-2</v>
      </c>
      <c r="AB16" s="123">
        <f>IFERROR(Tabell21[[#This Row],[O]]/Tabell21[[#This Row],[ANTAL MATCHER]],"")</f>
        <v>0.1111111111111111</v>
      </c>
      <c r="AC16" s="123">
        <f>IFERROR(Tabell21[[#This Row],[F]]/Tabell21[[#This Row],[ANTAL MATCHER]],"")</f>
        <v>0.83333333333333337</v>
      </c>
      <c r="AE16" s="116" t="s">
        <v>261</v>
      </c>
      <c r="AF16" s="121">
        <f>COUNTIF(E:F,Tabell32[[#This Row],[MOTSTÅNDARE]])</f>
        <v>7</v>
      </c>
      <c r="AG16" s="121">
        <f>Tabell32[[#This Row],[MS]]+Tabell32[[#This Row],[MS2]]</f>
        <v>21</v>
      </c>
      <c r="AH16" s="121">
        <f>SUMIF(E:E,Tabell32[[#This Row],[MOTSTÅNDARE]],I:I)</f>
        <v>7</v>
      </c>
      <c r="AI16" s="121">
        <f>SUMIF(F:F,Tabell32[[#This Row],[MOTSTÅNDARE]],I:I)</f>
        <v>14</v>
      </c>
      <c r="AJ16" s="124">
        <f>Tabell32[[#This Row],[MS ÅHUS IF]]/Tabell32[[#This Row],[ÅHUS MATCHER]]</f>
        <v>3</v>
      </c>
      <c r="AK16" s="121">
        <f>(Tabell32[[#This Row],[VINST]]*3)+Tabell32[[#This Row],[OAVGJORT]]</f>
        <v>15</v>
      </c>
      <c r="AL16" s="124">
        <f>Tabell32[[#This Row],[POÄNG]]/Tabell32[[#This Row],[ÅHUS MATCHER]]</f>
        <v>2.1428571428571428</v>
      </c>
      <c r="AM16" s="121">
        <f>IFERROR(Tabell32[[#This Row],[V H]]+Tabell32[[#This Row],[V B]],"0")</f>
        <v>5</v>
      </c>
      <c r="AN16" s="121">
        <f>IFERROR(Tabell32[[#This Row],[O H]]+Tabell32[[#This Row],[O B]],"0")</f>
        <v>0</v>
      </c>
      <c r="AO16" s="121">
        <f>IFERROR(Tabell32[[#This Row],[F H]]+Tabell32[[#This Row],[F B]],"0")</f>
        <v>2</v>
      </c>
      <c r="AP16" s="121">
        <f>SUMIF(MATCHHISTORIK[BORTALAG],Tabell32[[#This Row],[MOTSTÅNDARE]],MATCHHISTORIK[V])</f>
        <v>2</v>
      </c>
      <c r="AQ16" s="121">
        <f>SUMIF(MATCHHISTORIK[BORTALAG],Tabell32[[#This Row],[MOTSTÅNDARE]],MATCHHISTORIK[O])</f>
        <v>0</v>
      </c>
      <c r="AR16" s="97">
        <f>SUMIF(MATCHHISTORIK[BORTALAG],Tabell32[[#This Row],[MOTSTÅNDARE]],MATCHHISTORIK[F])</f>
        <v>1</v>
      </c>
      <c r="AS16" s="97">
        <f>SUMIF(MATCHHISTORIK[HEMMALAG],Tabell32[[#This Row],[MOTSTÅNDARE]],MATCHHISTORIK[V])</f>
        <v>3</v>
      </c>
      <c r="AT16" s="97">
        <f>SUMIF(MATCHHISTORIK[HEMMALAG],Tabell32[[#This Row],[MOTSTÅNDARE]],MATCHHISTORIK[O])</f>
        <v>0</v>
      </c>
      <c r="AU16" s="97">
        <f>SUMIF(MATCHHISTORIK[HEMMALAG],Tabell32[[#This Row],[MOTSTÅNDARE]],MATCHHISTORIK[F])</f>
        <v>1</v>
      </c>
    </row>
    <row r="17" spans="1:47" x14ac:dyDescent="0.25">
      <c r="A17" s="97">
        <v>3</v>
      </c>
      <c r="B17" s="97">
        <v>3</v>
      </c>
      <c r="C17" s="101">
        <v>2011</v>
      </c>
      <c r="D17" s="119">
        <v>40662</v>
      </c>
      <c r="E17" s="116" t="s">
        <v>258</v>
      </c>
      <c r="F17" s="116" t="s">
        <v>254</v>
      </c>
      <c r="G17" s="97">
        <v>1</v>
      </c>
      <c r="H17" s="97">
        <v>1</v>
      </c>
      <c r="I17" s="120">
        <v>0</v>
      </c>
      <c r="J17" s="97">
        <v>2</v>
      </c>
      <c r="K17" s="97">
        <v>1</v>
      </c>
      <c r="L17" s="97">
        <v>1</v>
      </c>
      <c r="N17" s="97">
        <v>1</v>
      </c>
      <c r="Q17" s="97">
        <v>2013</v>
      </c>
      <c r="R17" s="97">
        <f>COUNTIF(C:C,Tabell21[[#This Row],[ÅR]])</f>
        <v>10</v>
      </c>
      <c r="S17" s="97">
        <f>SUMIF(C:C,Tabell21[[#This Row],[ÅR]],L:L)</f>
        <v>9</v>
      </c>
      <c r="T17" s="102">
        <f>IFERROR(Tabell21[[#This Row],[ANTAL MATCHER GM MÅL]]/Tabell21[[#This Row],[ANTAL MATCHER]],"")</f>
        <v>0.9</v>
      </c>
      <c r="U17" s="121">
        <f>SUMIF(C:C,Tabell21[[#This Row],[ÅR]],I:I)</f>
        <v>15</v>
      </c>
      <c r="V17" s="122">
        <f>IFERROR(Tabell21[[#This Row],[MS]]/Tabell21[[#This Row],[ANTAL MATCHER]],"")</f>
        <v>1.5</v>
      </c>
      <c r="W17" s="101">
        <f>IFERROR(VLOOKUP(Tabell21[[#This Row],[ÅR]],'ALLA ÅR'!A:M,13,0),"")</f>
        <v>4</v>
      </c>
      <c r="X17" s="97">
        <v>4</v>
      </c>
      <c r="Y17" s="97">
        <v>4</v>
      </c>
      <c r="Z17" s="97">
        <v>2</v>
      </c>
      <c r="AA17" s="123">
        <f>IFERROR(Tabell21[[#This Row],[V]]/Tabell21[[#This Row],[ANTAL MATCHER]],"")</f>
        <v>0.4</v>
      </c>
      <c r="AB17" s="123">
        <f>IFERROR(Tabell21[[#This Row],[O]]/Tabell21[[#This Row],[ANTAL MATCHER]],"")</f>
        <v>0.4</v>
      </c>
      <c r="AC17" s="123">
        <f>IFERROR(Tabell21[[#This Row],[F]]/Tabell21[[#This Row],[ANTAL MATCHER]],"")</f>
        <v>0.2</v>
      </c>
      <c r="AE17" s="116" t="s">
        <v>271</v>
      </c>
      <c r="AF17" s="121">
        <f>COUNTIF(E:F,Tabell32[[#This Row],[MOTSTÅNDARE]])</f>
        <v>6</v>
      </c>
      <c r="AG17" s="121">
        <f>Tabell32[[#This Row],[MS]]+Tabell32[[#This Row],[MS2]]</f>
        <v>15</v>
      </c>
      <c r="AH17" s="121">
        <f>SUMIF(E:E,Tabell32[[#This Row],[MOTSTÅNDARE]],I:I)</f>
        <v>5</v>
      </c>
      <c r="AI17" s="121">
        <f>SUMIF(F:F,Tabell32[[#This Row],[MOTSTÅNDARE]],I:I)</f>
        <v>10</v>
      </c>
      <c r="AJ17" s="124">
        <f>Tabell32[[#This Row],[MS ÅHUS IF]]/Tabell32[[#This Row],[ÅHUS MATCHER]]</f>
        <v>2.5</v>
      </c>
      <c r="AK17" s="121">
        <f>(Tabell32[[#This Row],[VINST]]*3)+Tabell32[[#This Row],[OAVGJORT]]</f>
        <v>15</v>
      </c>
      <c r="AL17" s="124">
        <f>Tabell32[[#This Row],[POÄNG]]/Tabell32[[#This Row],[ÅHUS MATCHER]]</f>
        <v>2.5</v>
      </c>
      <c r="AM17" s="121">
        <f>IFERROR(Tabell32[[#This Row],[V H]]+Tabell32[[#This Row],[V B]],"0")</f>
        <v>5</v>
      </c>
      <c r="AN17" s="121">
        <f>IFERROR(Tabell32[[#This Row],[O H]]+Tabell32[[#This Row],[O B]],"0")</f>
        <v>0</v>
      </c>
      <c r="AO17" s="121">
        <f>IFERROR(Tabell32[[#This Row],[F H]]+Tabell32[[#This Row],[F B]],"0")</f>
        <v>1</v>
      </c>
      <c r="AP17" s="121">
        <f>SUMIF(MATCHHISTORIK[BORTALAG],Tabell32[[#This Row],[MOTSTÅNDARE]],MATCHHISTORIK[V])</f>
        <v>3</v>
      </c>
      <c r="AQ17" s="121">
        <f>SUMIF(MATCHHISTORIK[BORTALAG],Tabell32[[#This Row],[MOTSTÅNDARE]],MATCHHISTORIK[O])</f>
        <v>0</v>
      </c>
      <c r="AR17" s="97">
        <f>SUMIF(MATCHHISTORIK[BORTALAG],Tabell32[[#This Row],[MOTSTÅNDARE]],MATCHHISTORIK[F])</f>
        <v>0</v>
      </c>
      <c r="AS17" s="97">
        <f>SUMIF(MATCHHISTORIK[HEMMALAG],Tabell32[[#This Row],[MOTSTÅNDARE]],MATCHHISTORIK[V])</f>
        <v>2</v>
      </c>
      <c r="AT17" s="97">
        <f>SUMIF(MATCHHISTORIK[HEMMALAG],Tabell32[[#This Row],[MOTSTÅNDARE]],MATCHHISTORIK[O])</f>
        <v>0</v>
      </c>
      <c r="AU17" s="97">
        <f>SUMIF(MATCHHISTORIK[HEMMALAG],Tabell32[[#This Row],[MOTSTÅNDARE]],MATCHHISTORIK[F])</f>
        <v>1</v>
      </c>
    </row>
    <row r="18" spans="1:47" x14ac:dyDescent="0.25">
      <c r="A18" s="97">
        <v>4</v>
      </c>
      <c r="B18" s="97">
        <v>3</v>
      </c>
      <c r="C18" s="101">
        <v>2011</v>
      </c>
      <c r="D18" s="119">
        <v>40670</v>
      </c>
      <c r="E18" s="116" t="s">
        <v>260</v>
      </c>
      <c r="F18" s="116" t="s">
        <v>254</v>
      </c>
      <c r="G18" s="97">
        <v>2</v>
      </c>
      <c r="H18" s="97">
        <v>0</v>
      </c>
      <c r="I18" s="120">
        <v>-2</v>
      </c>
      <c r="J18" s="97">
        <v>2</v>
      </c>
      <c r="L18" s="97"/>
      <c r="O18" s="97">
        <v>1</v>
      </c>
      <c r="Q18" s="97">
        <v>2014</v>
      </c>
      <c r="R18" s="97">
        <f>COUNTIF(C:C,Tabell21[[#This Row],[ÅR]])</f>
        <v>16</v>
      </c>
      <c r="S18" s="97">
        <f>SUMIF(C:C,Tabell21[[#This Row],[ÅR]],L:L)</f>
        <v>13</v>
      </c>
      <c r="T18" s="102">
        <f>IFERROR(Tabell21[[#This Row],[ANTAL MATCHER GM MÅL]]/Tabell21[[#This Row],[ANTAL MATCHER]],"")</f>
        <v>0.8125</v>
      </c>
      <c r="U18" s="121">
        <f>SUMIF(C:C,Tabell21[[#This Row],[ÅR]],I:I)</f>
        <v>25</v>
      </c>
      <c r="V18" s="122">
        <f>IFERROR(Tabell21[[#This Row],[MS]]/Tabell21[[#This Row],[ANTAL MATCHER]],"")</f>
        <v>1.5625</v>
      </c>
      <c r="W18" s="101">
        <f>IFERROR(VLOOKUP(Tabell21[[#This Row],[ÅR]],'ALLA ÅR'!A:M,13,0),"")</f>
        <v>4</v>
      </c>
      <c r="X18" s="97">
        <v>7</v>
      </c>
      <c r="Y18" s="97">
        <v>4</v>
      </c>
      <c r="Z18" s="97">
        <v>5</v>
      </c>
      <c r="AA18" s="123">
        <f>IFERROR(Tabell21[[#This Row],[V]]/Tabell21[[#This Row],[ANTAL MATCHER]],"")</f>
        <v>0.4375</v>
      </c>
      <c r="AB18" s="123">
        <f>IFERROR(Tabell21[[#This Row],[O]]/Tabell21[[#This Row],[ANTAL MATCHER]],"")</f>
        <v>0.25</v>
      </c>
      <c r="AC18" s="123">
        <f>IFERROR(Tabell21[[#This Row],[F]]/Tabell21[[#This Row],[ANTAL MATCHER]],"")</f>
        <v>0.3125</v>
      </c>
      <c r="AE18" s="116" t="s">
        <v>256</v>
      </c>
      <c r="AF18" s="121">
        <f>COUNTIF(E:F,Tabell32[[#This Row],[MOTSTÅNDARE]])</f>
        <v>7</v>
      </c>
      <c r="AG18" s="121">
        <f>Tabell32[[#This Row],[MS]]+Tabell32[[#This Row],[MS2]]</f>
        <v>2</v>
      </c>
      <c r="AH18" s="121">
        <f>SUMIF(E:E,Tabell32[[#This Row],[MOTSTÅNDARE]],I:I)</f>
        <v>-2</v>
      </c>
      <c r="AI18" s="121">
        <f>SUMIF(F:F,Tabell32[[#This Row],[MOTSTÅNDARE]],I:I)</f>
        <v>4</v>
      </c>
      <c r="AJ18" s="124">
        <f>Tabell32[[#This Row],[MS ÅHUS IF]]/Tabell32[[#This Row],[ÅHUS MATCHER]]</f>
        <v>0.2857142857142857</v>
      </c>
      <c r="AK18" s="121">
        <f>(Tabell32[[#This Row],[VINST]]*3)+Tabell32[[#This Row],[OAVGJORT]]</f>
        <v>12</v>
      </c>
      <c r="AL18" s="124">
        <f>Tabell32[[#This Row],[POÄNG]]/Tabell32[[#This Row],[ÅHUS MATCHER]]</f>
        <v>1.7142857142857142</v>
      </c>
      <c r="AM18" s="121">
        <f>IFERROR(Tabell32[[#This Row],[V H]]+Tabell32[[#This Row],[V B]],"0")</f>
        <v>4</v>
      </c>
      <c r="AN18" s="121">
        <f>IFERROR(Tabell32[[#This Row],[O H]]+Tabell32[[#This Row],[O B]],"0")</f>
        <v>0</v>
      </c>
      <c r="AO18" s="121">
        <f>IFERROR(Tabell32[[#This Row],[F H]]+Tabell32[[#This Row],[F B]],"0")</f>
        <v>3</v>
      </c>
      <c r="AP18" s="121">
        <f>SUMIF(MATCHHISTORIK[BORTALAG],Tabell32[[#This Row],[MOTSTÅNDARE]],MATCHHISTORIK[V])</f>
        <v>2</v>
      </c>
      <c r="AQ18" s="121">
        <f>SUMIF(MATCHHISTORIK[BORTALAG],Tabell32[[#This Row],[MOTSTÅNDARE]],MATCHHISTORIK[O])</f>
        <v>0</v>
      </c>
      <c r="AR18" s="97">
        <f>SUMIF(MATCHHISTORIK[BORTALAG],Tabell32[[#This Row],[MOTSTÅNDARE]],MATCHHISTORIK[F])</f>
        <v>2</v>
      </c>
      <c r="AS18" s="97">
        <f>SUMIF(MATCHHISTORIK[HEMMALAG],Tabell32[[#This Row],[MOTSTÅNDARE]],MATCHHISTORIK[V])</f>
        <v>2</v>
      </c>
      <c r="AT18" s="97">
        <f>SUMIF(MATCHHISTORIK[HEMMALAG],Tabell32[[#This Row],[MOTSTÅNDARE]],MATCHHISTORIK[O])</f>
        <v>0</v>
      </c>
      <c r="AU18" s="97">
        <f>SUMIF(MATCHHISTORIK[HEMMALAG],Tabell32[[#This Row],[MOTSTÅNDARE]],MATCHHISTORIK[F])</f>
        <v>1</v>
      </c>
    </row>
    <row r="19" spans="1:47" x14ac:dyDescent="0.25">
      <c r="A19" s="97">
        <v>5</v>
      </c>
      <c r="B19" s="97">
        <v>3</v>
      </c>
      <c r="C19" s="101">
        <v>2011</v>
      </c>
      <c r="D19" s="119">
        <v>40674</v>
      </c>
      <c r="E19" s="116" t="s">
        <v>254</v>
      </c>
      <c r="F19" s="116" t="s">
        <v>262</v>
      </c>
      <c r="G19" s="97">
        <v>1</v>
      </c>
      <c r="H19" s="97">
        <v>0</v>
      </c>
      <c r="I19" s="120">
        <v>1</v>
      </c>
      <c r="J19" s="97">
        <v>1</v>
      </c>
      <c r="K19" s="97">
        <v>1</v>
      </c>
      <c r="L19" s="97">
        <v>1</v>
      </c>
      <c r="M19" s="97">
        <v>1</v>
      </c>
      <c r="Q19" s="97">
        <v>2015</v>
      </c>
      <c r="R19" s="97">
        <f>COUNTIF(C:C,Tabell21[[#This Row],[ÅR]])</f>
        <v>20</v>
      </c>
      <c r="S19" s="97">
        <f>SUMIF(C:C,Tabell21[[#This Row],[ÅR]],L:L)</f>
        <v>19</v>
      </c>
      <c r="T19" s="102">
        <f>IFERROR(Tabell21[[#This Row],[ANTAL MATCHER GM MÅL]]/Tabell21[[#This Row],[ANTAL MATCHER]],"")</f>
        <v>0.95</v>
      </c>
      <c r="U19" s="121">
        <f>SUMIF(C:C,Tabell21[[#This Row],[ÅR]],I:I)</f>
        <v>77</v>
      </c>
      <c r="V19" s="122">
        <f>IFERROR(Tabell21[[#This Row],[MS]]/Tabell21[[#This Row],[ANTAL MATCHER]],"")</f>
        <v>3.85</v>
      </c>
      <c r="W19" s="101">
        <f>IFERROR(VLOOKUP(Tabell21[[#This Row],[ÅR]],'ALLA ÅR'!A:M,13,0),"")</f>
        <v>4</v>
      </c>
      <c r="X19" s="97">
        <v>13</v>
      </c>
      <c r="Y19" s="97">
        <v>3</v>
      </c>
      <c r="Z19" s="97">
        <v>4</v>
      </c>
      <c r="AA19" s="123">
        <f>IFERROR(Tabell21[[#This Row],[V]]/Tabell21[[#This Row],[ANTAL MATCHER]],"")</f>
        <v>0.65</v>
      </c>
      <c r="AB19" s="123">
        <f>IFERROR(Tabell21[[#This Row],[O]]/Tabell21[[#This Row],[ANTAL MATCHER]],"")</f>
        <v>0.15</v>
      </c>
      <c r="AC19" s="123">
        <f>IFERROR(Tabell21[[#This Row],[F]]/Tabell21[[#This Row],[ANTAL MATCHER]],"")</f>
        <v>0.2</v>
      </c>
      <c r="AE19" s="116" t="s">
        <v>263</v>
      </c>
      <c r="AF19" s="121">
        <f>COUNTIF(E:F,Tabell32[[#This Row],[MOTSTÅNDARE]])</f>
        <v>6</v>
      </c>
      <c r="AG19" s="121">
        <f>Tabell32[[#This Row],[MS]]+Tabell32[[#This Row],[MS2]]</f>
        <v>17</v>
      </c>
      <c r="AH19" s="121">
        <f>SUMIF(E:E,Tabell32[[#This Row],[MOTSTÅNDARE]],I:I)</f>
        <v>13</v>
      </c>
      <c r="AI19" s="121">
        <f>SUMIF(F:F,Tabell32[[#This Row],[MOTSTÅNDARE]],I:I)</f>
        <v>4</v>
      </c>
      <c r="AJ19" s="124">
        <f>Tabell32[[#This Row],[MS ÅHUS IF]]/Tabell32[[#This Row],[ÅHUS MATCHER]]</f>
        <v>2.8333333333333335</v>
      </c>
      <c r="AK19" s="121">
        <f>(Tabell32[[#This Row],[VINST]]*3)+Tabell32[[#This Row],[OAVGJORT]]</f>
        <v>12</v>
      </c>
      <c r="AL19" s="124">
        <f>Tabell32[[#This Row],[POÄNG]]/Tabell32[[#This Row],[ÅHUS MATCHER]]</f>
        <v>2</v>
      </c>
      <c r="AM19" s="121">
        <f>IFERROR(Tabell32[[#This Row],[V H]]+Tabell32[[#This Row],[V B]],"0")</f>
        <v>4</v>
      </c>
      <c r="AN19" s="121">
        <f>IFERROR(Tabell32[[#This Row],[O H]]+Tabell32[[#This Row],[O B]],"0")</f>
        <v>0</v>
      </c>
      <c r="AO19" s="121">
        <f>IFERROR(Tabell32[[#This Row],[F H]]+Tabell32[[#This Row],[F B]],"0")</f>
        <v>2</v>
      </c>
      <c r="AP19" s="121">
        <f>SUMIF(MATCHHISTORIK[BORTALAG],Tabell32[[#This Row],[MOTSTÅNDARE]],MATCHHISTORIK[V])</f>
        <v>2</v>
      </c>
      <c r="AQ19" s="121">
        <f>SUMIF(MATCHHISTORIK[BORTALAG],Tabell32[[#This Row],[MOTSTÅNDARE]],MATCHHISTORIK[O])</f>
        <v>0</v>
      </c>
      <c r="AR19" s="97">
        <f>SUMIF(MATCHHISTORIK[BORTALAG],Tabell32[[#This Row],[MOTSTÅNDARE]],MATCHHISTORIK[F])</f>
        <v>1</v>
      </c>
      <c r="AS19" s="97">
        <f>SUMIF(MATCHHISTORIK[HEMMALAG],Tabell32[[#This Row],[MOTSTÅNDARE]],MATCHHISTORIK[V])</f>
        <v>2</v>
      </c>
      <c r="AT19" s="97">
        <f>SUMIF(MATCHHISTORIK[HEMMALAG],Tabell32[[#This Row],[MOTSTÅNDARE]],MATCHHISTORIK[O])</f>
        <v>0</v>
      </c>
      <c r="AU19" s="97">
        <f>SUMIF(MATCHHISTORIK[HEMMALAG],Tabell32[[#This Row],[MOTSTÅNDARE]],MATCHHISTORIK[F])</f>
        <v>1</v>
      </c>
    </row>
    <row r="20" spans="1:47" x14ac:dyDescent="0.25">
      <c r="A20" s="97">
        <v>6</v>
      </c>
      <c r="B20" s="97">
        <v>3</v>
      </c>
      <c r="C20" s="101">
        <v>2011</v>
      </c>
      <c r="D20" s="119">
        <v>40677</v>
      </c>
      <c r="E20" s="116" t="s">
        <v>264</v>
      </c>
      <c r="F20" s="116" t="s">
        <v>254</v>
      </c>
      <c r="G20" s="97">
        <v>1</v>
      </c>
      <c r="H20" s="97">
        <v>1</v>
      </c>
      <c r="I20" s="120">
        <v>0</v>
      </c>
      <c r="J20" s="97">
        <v>2</v>
      </c>
      <c r="K20" s="97">
        <v>2</v>
      </c>
      <c r="L20" s="97">
        <v>1</v>
      </c>
      <c r="N20" s="97">
        <v>1</v>
      </c>
      <c r="Q20" s="97">
        <v>2016</v>
      </c>
      <c r="R20" s="97">
        <f>COUNTIF(C:C,Tabell21[[#This Row],[ÅR]])</f>
        <v>16</v>
      </c>
      <c r="S20" s="97">
        <f>SUMIF(C:C,Tabell21[[#This Row],[ÅR]],L:L)</f>
        <v>16</v>
      </c>
      <c r="T20" s="102">
        <f>IFERROR(Tabell21[[#This Row],[ANTAL MATCHER GM MÅL]]/Tabell21[[#This Row],[ANTAL MATCHER]],"")</f>
        <v>1</v>
      </c>
      <c r="U20" s="121">
        <f>SUMIF(C:C,Tabell21[[#This Row],[ÅR]],I:I)</f>
        <v>25</v>
      </c>
      <c r="V20" s="122">
        <f>IFERROR(Tabell21[[#This Row],[MS]]/Tabell21[[#This Row],[ANTAL MATCHER]],"")</f>
        <v>1.5625</v>
      </c>
      <c r="W20" s="101">
        <f>IFERROR(VLOOKUP(Tabell21[[#This Row],[ÅR]],'ALLA ÅR'!A:M,13,0),"")</f>
        <v>4</v>
      </c>
      <c r="X20" s="97">
        <v>11</v>
      </c>
      <c r="Y20" s="97">
        <v>2</v>
      </c>
      <c r="Z20" s="97">
        <v>3</v>
      </c>
      <c r="AA20" s="123">
        <f>IFERROR(Tabell21[[#This Row],[V]]/Tabell21[[#This Row],[ANTAL MATCHER]],"")</f>
        <v>0.6875</v>
      </c>
      <c r="AB20" s="123">
        <f>IFERROR(Tabell21[[#This Row],[O]]/Tabell21[[#This Row],[ANTAL MATCHER]],"")</f>
        <v>0.125</v>
      </c>
      <c r="AC20" s="123">
        <f>IFERROR(Tabell21[[#This Row],[F]]/Tabell21[[#This Row],[ANTAL MATCHER]],"")</f>
        <v>0.1875</v>
      </c>
      <c r="AE20" s="116" t="s">
        <v>255</v>
      </c>
      <c r="AF20" s="121">
        <f>COUNTIF(E:F,Tabell32[[#This Row],[MOTSTÅNDARE]])</f>
        <v>6</v>
      </c>
      <c r="AG20" s="121">
        <f>Tabell32[[#This Row],[MS]]+Tabell32[[#This Row],[MS2]]</f>
        <v>34</v>
      </c>
      <c r="AH20" s="121">
        <f>SUMIF(E:E,Tabell32[[#This Row],[MOTSTÅNDARE]],I:I)</f>
        <v>10</v>
      </c>
      <c r="AI20" s="121">
        <f>SUMIF(F:F,Tabell32[[#This Row],[MOTSTÅNDARE]],I:I)</f>
        <v>24</v>
      </c>
      <c r="AJ20" s="124">
        <f>Tabell32[[#This Row],[MS ÅHUS IF]]/Tabell32[[#This Row],[ÅHUS MATCHER]]</f>
        <v>5.666666666666667</v>
      </c>
      <c r="AK20" s="121">
        <f>(Tabell32[[#This Row],[VINST]]*3)+Tabell32[[#This Row],[OAVGJORT]]</f>
        <v>13</v>
      </c>
      <c r="AL20" s="124">
        <f>Tabell32[[#This Row],[POÄNG]]/Tabell32[[#This Row],[ÅHUS MATCHER]]</f>
        <v>2.1666666666666665</v>
      </c>
      <c r="AM20" s="121">
        <f>IFERROR(Tabell32[[#This Row],[V H]]+Tabell32[[#This Row],[V B]],"0")</f>
        <v>4</v>
      </c>
      <c r="AN20" s="121">
        <f>IFERROR(Tabell32[[#This Row],[O H]]+Tabell32[[#This Row],[O B]],"0")</f>
        <v>1</v>
      </c>
      <c r="AO20" s="121">
        <f>IFERROR(Tabell32[[#This Row],[F H]]+Tabell32[[#This Row],[F B]],"0")</f>
        <v>1</v>
      </c>
      <c r="AP20" s="121">
        <f>SUMIF(MATCHHISTORIK[BORTALAG],Tabell32[[#This Row],[MOTSTÅNDARE]],MATCHHISTORIK[V])</f>
        <v>2</v>
      </c>
      <c r="AQ20" s="121">
        <f>SUMIF(MATCHHISTORIK[BORTALAG],Tabell32[[#This Row],[MOTSTÅNDARE]],MATCHHISTORIK[O])</f>
        <v>0</v>
      </c>
      <c r="AR20" s="97">
        <f>SUMIF(MATCHHISTORIK[BORTALAG],Tabell32[[#This Row],[MOTSTÅNDARE]],MATCHHISTORIK[F])</f>
        <v>1</v>
      </c>
      <c r="AS20" s="97">
        <f>SUMIF(MATCHHISTORIK[HEMMALAG],Tabell32[[#This Row],[MOTSTÅNDARE]],MATCHHISTORIK[V])</f>
        <v>2</v>
      </c>
      <c r="AT20" s="97">
        <f>SUMIF(MATCHHISTORIK[HEMMALAG],Tabell32[[#This Row],[MOTSTÅNDARE]],MATCHHISTORIK[O])</f>
        <v>1</v>
      </c>
      <c r="AU20" s="97">
        <f>SUMIF(MATCHHISTORIK[HEMMALAG],Tabell32[[#This Row],[MOTSTÅNDARE]],MATCHHISTORIK[F])</f>
        <v>0</v>
      </c>
    </row>
    <row r="21" spans="1:47" x14ac:dyDescent="0.25">
      <c r="A21" s="97">
        <v>7</v>
      </c>
      <c r="B21" s="97">
        <v>3</v>
      </c>
      <c r="C21" s="101">
        <v>2011</v>
      </c>
      <c r="D21" s="119">
        <v>40685</v>
      </c>
      <c r="E21" s="116" t="s">
        <v>254</v>
      </c>
      <c r="F21" s="116" t="s">
        <v>266</v>
      </c>
      <c r="G21" s="97">
        <v>3</v>
      </c>
      <c r="H21" s="97">
        <v>0</v>
      </c>
      <c r="I21" s="120">
        <v>3</v>
      </c>
      <c r="J21" s="97">
        <v>3</v>
      </c>
      <c r="K21" s="97">
        <v>3</v>
      </c>
      <c r="L21" s="97">
        <v>1</v>
      </c>
      <c r="M21" s="97">
        <v>1</v>
      </c>
      <c r="Q21" s="97">
        <v>2017</v>
      </c>
      <c r="R21" s="97">
        <f>COUNTIF(C:C,Tabell21[[#This Row],[ÅR]])</f>
        <v>16</v>
      </c>
      <c r="S21" s="97">
        <f>SUMIF(C:C,Tabell21[[#This Row],[ÅR]],L:L)</f>
        <v>16</v>
      </c>
      <c r="T21" s="102">
        <f>IFERROR(Tabell21[[#This Row],[ANTAL MATCHER GM MÅL]]/Tabell21[[#This Row],[ANTAL MATCHER]],"")</f>
        <v>1</v>
      </c>
      <c r="U21" s="121">
        <f>SUMIF(C:C,Tabell21[[#This Row],[ÅR]],I:I)</f>
        <v>35</v>
      </c>
      <c r="V21" s="122">
        <f>IFERROR(Tabell21[[#This Row],[MS]]/Tabell21[[#This Row],[ANTAL MATCHER]],"")</f>
        <v>2.1875</v>
      </c>
      <c r="W21" s="101">
        <f>IFERROR(VLOOKUP(Tabell21[[#This Row],[ÅR]],'ALLA ÅR'!A:M,13,0),"")</f>
        <v>3</v>
      </c>
      <c r="X21" s="97">
        <v>13</v>
      </c>
      <c r="Z21" s="97">
        <v>3</v>
      </c>
      <c r="AA21" s="123">
        <f>IFERROR(Tabell21[[#This Row],[V]]/Tabell21[[#This Row],[ANTAL MATCHER]],"")</f>
        <v>0.8125</v>
      </c>
      <c r="AB21" s="123">
        <f>IFERROR(Tabell21[[#This Row],[O]]/Tabell21[[#This Row],[ANTAL MATCHER]],"")</f>
        <v>0</v>
      </c>
      <c r="AC21" s="123">
        <f>IFERROR(Tabell21[[#This Row],[F]]/Tabell21[[#This Row],[ANTAL MATCHER]],"")</f>
        <v>0.1875</v>
      </c>
      <c r="AE21" s="116" t="s">
        <v>269</v>
      </c>
      <c r="AF21" s="121">
        <f>COUNTIF(E:F,Tabell32[[#This Row],[MOTSTÅNDARE]])</f>
        <v>6</v>
      </c>
      <c r="AG21" s="121">
        <f>Tabell32[[#This Row],[MS]]+Tabell32[[#This Row],[MS2]]</f>
        <v>15</v>
      </c>
      <c r="AH21" s="121">
        <f>SUMIF(E:E,Tabell32[[#This Row],[MOTSTÅNDARE]],I:I)</f>
        <v>6</v>
      </c>
      <c r="AI21" s="121">
        <f>SUMIF(F:F,Tabell32[[#This Row],[MOTSTÅNDARE]],I:I)</f>
        <v>9</v>
      </c>
      <c r="AJ21" s="124">
        <f>Tabell32[[#This Row],[MS ÅHUS IF]]/Tabell32[[#This Row],[ÅHUS MATCHER]]</f>
        <v>2.5</v>
      </c>
      <c r="AK21" s="121">
        <f>(Tabell32[[#This Row],[VINST]]*3)+Tabell32[[#This Row],[OAVGJORT]]</f>
        <v>14</v>
      </c>
      <c r="AL21" s="124">
        <f>Tabell32[[#This Row],[POÄNG]]/Tabell32[[#This Row],[ÅHUS MATCHER]]</f>
        <v>2.3333333333333335</v>
      </c>
      <c r="AM21" s="121">
        <f>IFERROR(Tabell32[[#This Row],[V H]]+Tabell32[[#This Row],[V B]],"0")</f>
        <v>4</v>
      </c>
      <c r="AN21" s="121">
        <f>IFERROR(Tabell32[[#This Row],[O H]]+Tabell32[[#This Row],[O B]],"0")</f>
        <v>2</v>
      </c>
      <c r="AO21" s="121">
        <f>IFERROR(Tabell32[[#This Row],[F H]]+Tabell32[[#This Row],[F B]],"0")</f>
        <v>0</v>
      </c>
      <c r="AP21" s="121">
        <f>SUMIF(MATCHHISTORIK[BORTALAG],Tabell32[[#This Row],[MOTSTÅNDARE]],MATCHHISTORIK[V])</f>
        <v>2</v>
      </c>
      <c r="AQ21" s="121">
        <f>SUMIF(MATCHHISTORIK[BORTALAG],Tabell32[[#This Row],[MOTSTÅNDARE]],MATCHHISTORIK[O])</f>
        <v>1</v>
      </c>
      <c r="AR21" s="97">
        <f>SUMIF(MATCHHISTORIK[BORTALAG],Tabell32[[#This Row],[MOTSTÅNDARE]],MATCHHISTORIK[F])</f>
        <v>0</v>
      </c>
      <c r="AS21" s="97">
        <f>SUMIF(MATCHHISTORIK[HEMMALAG],Tabell32[[#This Row],[MOTSTÅNDARE]],MATCHHISTORIK[V])</f>
        <v>2</v>
      </c>
      <c r="AT21" s="97">
        <f>SUMIF(MATCHHISTORIK[HEMMALAG],Tabell32[[#This Row],[MOTSTÅNDARE]],MATCHHISTORIK[O])</f>
        <v>1</v>
      </c>
      <c r="AU21" s="97">
        <f>SUMIF(MATCHHISTORIK[HEMMALAG],Tabell32[[#This Row],[MOTSTÅNDARE]],MATCHHISTORIK[F])</f>
        <v>0</v>
      </c>
    </row>
    <row r="22" spans="1:47" x14ac:dyDescent="0.25">
      <c r="A22" s="97">
        <v>8</v>
      </c>
      <c r="B22" s="97">
        <v>3</v>
      </c>
      <c r="C22" s="101">
        <v>2011</v>
      </c>
      <c r="D22" s="119">
        <v>40692</v>
      </c>
      <c r="E22" s="116" t="s">
        <v>268</v>
      </c>
      <c r="F22" s="116" t="s">
        <v>254</v>
      </c>
      <c r="G22" s="97">
        <v>1</v>
      </c>
      <c r="H22" s="97">
        <v>1</v>
      </c>
      <c r="I22" s="120">
        <v>0</v>
      </c>
      <c r="J22" s="97">
        <v>2</v>
      </c>
      <c r="K22" s="97">
        <v>4</v>
      </c>
      <c r="L22" s="97">
        <v>1</v>
      </c>
      <c r="N22" s="97">
        <v>1</v>
      </c>
      <c r="Q22" s="97">
        <v>2018</v>
      </c>
      <c r="R22" s="97">
        <f>COUNTIF(C:C,Tabell21[[#This Row],[ÅR]])</f>
        <v>18</v>
      </c>
      <c r="S22" s="97">
        <f>SUMIF(C:C,Tabell21[[#This Row],[ÅR]],L:L)</f>
        <v>16</v>
      </c>
      <c r="T22" s="102">
        <f>IFERROR(Tabell21[[#This Row],[ANTAL MATCHER GM MÅL]]/Tabell21[[#This Row],[ANTAL MATCHER]],"")</f>
        <v>0.88888888888888884</v>
      </c>
      <c r="U22" s="121">
        <f>SUMIF(C:C,Tabell21[[#This Row],[ÅR]],I:I)</f>
        <v>24</v>
      </c>
      <c r="V22" s="122">
        <f>IFERROR(Tabell21[[#This Row],[MS]]/Tabell21[[#This Row],[ANTAL MATCHER]],"")</f>
        <v>1.3333333333333333</v>
      </c>
      <c r="W22" s="101">
        <f>IFERROR(VLOOKUP(Tabell21[[#This Row],[ÅR]],'ALLA ÅR'!A:M,13,0),"")</f>
        <v>2</v>
      </c>
      <c r="X22" s="97">
        <v>10</v>
      </c>
      <c r="Y22" s="97">
        <v>2</v>
      </c>
      <c r="Z22" s="97">
        <v>6</v>
      </c>
      <c r="AA22" s="123">
        <f>IFERROR(Tabell21[[#This Row],[V]]/Tabell21[[#This Row],[ANTAL MATCHER]],"")</f>
        <v>0.55555555555555558</v>
      </c>
      <c r="AB22" s="123">
        <f>IFERROR(Tabell21[[#This Row],[O]]/Tabell21[[#This Row],[ANTAL MATCHER]],"")</f>
        <v>0.1111111111111111</v>
      </c>
      <c r="AC22" s="123">
        <f>IFERROR(Tabell21[[#This Row],[F]]/Tabell21[[#This Row],[ANTAL MATCHER]],"")</f>
        <v>0.33333333333333331</v>
      </c>
      <c r="AE22" s="116" t="s">
        <v>275</v>
      </c>
      <c r="AF22" s="121">
        <f>COUNTIF(E:F,Tabell32[[#This Row],[MOTSTÅNDARE]])</f>
        <v>5</v>
      </c>
      <c r="AG22" s="121">
        <f>Tabell32[[#This Row],[MS]]+Tabell32[[#This Row],[MS2]]</f>
        <v>14</v>
      </c>
      <c r="AH22" s="121">
        <f>SUMIF(E:E,Tabell32[[#This Row],[MOTSTÅNDARE]],I:I)</f>
        <v>8</v>
      </c>
      <c r="AI22" s="121">
        <f>SUMIF(F:F,Tabell32[[#This Row],[MOTSTÅNDARE]],I:I)</f>
        <v>6</v>
      </c>
      <c r="AJ22" s="124">
        <f>Tabell32[[#This Row],[MS ÅHUS IF]]/Tabell32[[#This Row],[ÅHUS MATCHER]]</f>
        <v>2.8</v>
      </c>
      <c r="AK22" s="121">
        <f>(Tabell32[[#This Row],[VINST]]*3)+Tabell32[[#This Row],[OAVGJORT]]</f>
        <v>13</v>
      </c>
      <c r="AL22" s="124">
        <f>Tabell32[[#This Row],[POÄNG]]/Tabell32[[#This Row],[ÅHUS MATCHER]]</f>
        <v>2.6</v>
      </c>
      <c r="AM22" s="121">
        <f>IFERROR(Tabell32[[#This Row],[V H]]+Tabell32[[#This Row],[V B]],"0")</f>
        <v>4</v>
      </c>
      <c r="AN22" s="121">
        <f>IFERROR(Tabell32[[#This Row],[O H]]+Tabell32[[#This Row],[O B]],"0")</f>
        <v>1</v>
      </c>
      <c r="AO22" s="121">
        <f>IFERROR(Tabell32[[#This Row],[F H]]+Tabell32[[#This Row],[F B]],"0")</f>
        <v>0</v>
      </c>
      <c r="AP22" s="121">
        <f>SUMIF(MATCHHISTORIK[BORTALAG],Tabell32[[#This Row],[MOTSTÅNDARE]],MATCHHISTORIK[V])</f>
        <v>2</v>
      </c>
      <c r="AQ22" s="121">
        <f>SUMIF(MATCHHISTORIK[BORTALAG],Tabell32[[#This Row],[MOTSTÅNDARE]],MATCHHISTORIK[O])</f>
        <v>0</v>
      </c>
      <c r="AR22" s="97">
        <f>SUMIF(MATCHHISTORIK[BORTALAG],Tabell32[[#This Row],[MOTSTÅNDARE]],MATCHHISTORIK[F])</f>
        <v>0</v>
      </c>
      <c r="AS22" s="97">
        <f>SUMIF(MATCHHISTORIK[HEMMALAG],Tabell32[[#This Row],[MOTSTÅNDARE]],MATCHHISTORIK[V])</f>
        <v>2</v>
      </c>
      <c r="AT22" s="97">
        <f>SUMIF(MATCHHISTORIK[HEMMALAG],Tabell32[[#This Row],[MOTSTÅNDARE]],MATCHHISTORIK[O])</f>
        <v>1</v>
      </c>
      <c r="AU22" s="97">
        <f>SUMIF(MATCHHISTORIK[HEMMALAG],Tabell32[[#This Row],[MOTSTÅNDARE]],MATCHHISTORIK[F])</f>
        <v>0</v>
      </c>
    </row>
    <row r="23" spans="1:47" x14ac:dyDescent="0.25">
      <c r="A23" s="97">
        <v>9</v>
      </c>
      <c r="B23" s="97">
        <v>3</v>
      </c>
      <c r="C23" s="101">
        <v>2011</v>
      </c>
      <c r="D23" s="119">
        <v>40698</v>
      </c>
      <c r="E23" s="116" t="s">
        <v>254</v>
      </c>
      <c r="F23" s="116" t="s">
        <v>270</v>
      </c>
      <c r="G23" s="97">
        <v>1</v>
      </c>
      <c r="H23" s="97">
        <v>1</v>
      </c>
      <c r="I23" s="120">
        <v>0</v>
      </c>
      <c r="J23" s="97">
        <v>2</v>
      </c>
      <c r="K23" s="97">
        <v>5</v>
      </c>
      <c r="L23" s="97">
        <v>1</v>
      </c>
      <c r="N23" s="97">
        <v>1</v>
      </c>
      <c r="Q23" s="97">
        <v>2019</v>
      </c>
      <c r="R23" s="97">
        <f>COUNTIF(C:C,Tabell21[[#This Row],[ÅR]])</f>
        <v>26</v>
      </c>
      <c r="S23" s="97">
        <f>SUMIF(C:C,Tabell21[[#This Row],[ÅR]],L:L)</f>
        <v>26</v>
      </c>
      <c r="T23" s="102">
        <f>IFERROR(Tabell21[[#This Row],[ANTAL MATCHER GM MÅL]]/Tabell21[[#This Row],[ANTAL MATCHER]],"")</f>
        <v>1</v>
      </c>
      <c r="U23" s="121">
        <f>SUMIF(C:C,Tabell21[[#This Row],[ÅR]],I:I)</f>
        <v>85</v>
      </c>
      <c r="V23" s="122">
        <f>IFERROR(Tabell21[[#This Row],[MS]]/Tabell21[[#This Row],[ANTAL MATCHER]],"")</f>
        <v>3.2692307692307692</v>
      </c>
      <c r="W23" s="101">
        <f>IFERROR(VLOOKUP(Tabell21[[#This Row],[ÅR]],'ALLA ÅR'!A:M,13,0),"")</f>
        <v>2</v>
      </c>
      <c r="X23" s="97">
        <v>23</v>
      </c>
      <c r="Y23" s="97">
        <v>1</v>
      </c>
      <c r="Z23" s="97">
        <v>2</v>
      </c>
      <c r="AA23" s="123">
        <f>IFERROR(Tabell21[[#This Row],[V]]/Tabell21[[#This Row],[ANTAL MATCHER]],"")</f>
        <v>0.88461538461538458</v>
      </c>
      <c r="AB23" s="123">
        <f>IFERROR(Tabell21[[#This Row],[O]]/Tabell21[[#This Row],[ANTAL MATCHER]],"")</f>
        <v>3.8461538461538464E-2</v>
      </c>
      <c r="AC23" s="123">
        <f>IFERROR(Tabell21[[#This Row],[F]]/Tabell21[[#This Row],[ANTAL MATCHER]],"")</f>
        <v>7.6923076923076927E-2</v>
      </c>
      <c r="AE23" s="116" t="s">
        <v>267</v>
      </c>
      <c r="AF23" s="121">
        <f>COUNTIF(E:F,Tabell32[[#This Row],[MOTSTÅNDARE]])</f>
        <v>4</v>
      </c>
      <c r="AG23" s="121">
        <f>Tabell32[[#This Row],[MS]]+Tabell32[[#This Row],[MS2]]</f>
        <v>15</v>
      </c>
      <c r="AH23" s="121">
        <f>SUMIF(E:E,Tabell32[[#This Row],[MOTSTÅNDARE]],I:I)</f>
        <v>13</v>
      </c>
      <c r="AI23" s="121">
        <f>SUMIF(F:F,Tabell32[[#This Row],[MOTSTÅNDARE]],I:I)</f>
        <v>2</v>
      </c>
      <c r="AJ23" s="124">
        <f>Tabell32[[#This Row],[MS ÅHUS IF]]/Tabell32[[#This Row],[ÅHUS MATCHER]]</f>
        <v>3.75</v>
      </c>
      <c r="AK23" s="121">
        <f>(Tabell32[[#This Row],[VINST]]*3)+Tabell32[[#This Row],[OAVGJORT]]</f>
        <v>12</v>
      </c>
      <c r="AL23" s="124">
        <f>Tabell32[[#This Row],[POÄNG]]/Tabell32[[#This Row],[ÅHUS MATCHER]]</f>
        <v>3</v>
      </c>
      <c r="AM23" s="121">
        <f>IFERROR(Tabell32[[#This Row],[V H]]+Tabell32[[#This Row],[V B]],"0")</f>
        <v>4</v>
      </c>
      <c r="AN23" s="121">
        <f>IFERROR(Tabell32[[#This Row],[O H]]+Tabell32[[#This Row],[O B]],"0")</f>
        <v>0</v>
      </c>
      <c r="AO23" s="121">
        <f>IFERROR(Tabell32[[#This Row],[F H]]+Tabell32[[#This Row],[F B]],"0")</f>
        <v>0</v>
      </c>
      <c r="AP23" s="121">
        <f>SUMIF(MATCHHISTORIK[BORTALAG],Tabell32[[#This Row],[MOTSTÅNDARE]],MATCHHISTORIK[V])</f>
        <v>1</v>
      </c>
      <c r="AQ23" s="121">
        <f>SUMIF(MATCHHISTORIK[BORTALAG],Tabell32[[#This Row],[MOTSTÅNDARE]],MATCHHISTORIK[O])</f>
        <v>0</v>
      </c>
      <c r="AR23" s="97">
        <f>SUMIF(MATCHHISTORIK[BORTALAG],Tabell32[[#This Row],[MOTSTÅNDARE]],MATCHHISTORIK[F])</f>
        <v>0</v>
      </c>
      <c r="AS23" s="97">
        <f>SUMIF(MATCHHISTORIK[HEMMALAG],Tabell32[[#This Row],[MOTSTÅNDARE]],MATCHHISTORIK[V])</f>
        <v>3</v>
      </c>
      <c r="AT23" s="97">
        <f>SUMIF(MATCHHISTORIK[HEMMALAG],Tabell32[[#This Row],[MOTSTÅNDARE]],MATCHHISTORIK[O])</f>
        <v>0</v>
      </c>
      <c r="AU23" s="97">
        <f>SUMIF(MATCHHISTORIK[HEMMALAG],Tabell32[[#This Row],[MOTSTÅNDARE]],MATCHHISTORIK[F])</f>
        <v>0</v>
      </c>
    </row>
    <row r="24" spans="1:47" x14ac:dyDescent="0.25">
      <c r="A24" s="97">
        <v>10</v>
      </c>
      <c r="B24" s="97">
        <v>3</v>
      </c>
      <c r="C24" s="101">
        <v>2011</v>
      </c>
      <c r="D24" s="119">
        <v>40706</v>
      </c>
      <c r="E24" s="116" t="s">
        <v>272</v>
      </c>
      <c r="F24" s="116" t="s">
        <v>254</v>
      </c>
      <c r="G24" s="97">
        <v>3</v>
      </c>
      <c r="H24" s="97">
        <v>1</v>
      </c>
      <c r="I24" s="120">
        <v>-2</v>
      </c>
      <c r="J24" s="97">
        <v>4</v>
      </c>
      <c r="L24" s="97">
        <v>1</v>
      </c>
      <c r="O24" s="97">
        <v>1</v>
      </c>
      <c r="Q24" s="97">
        <v>2020</v>
      </c>
      <c r="R24" s="97">
        <f>COUNTIF(C:C,Tabell21[[#This Row],[ÅR]])</f>
        <v>10</v>
      </c>
      <c r="S24" s="97">
        <f>SUMIF(C:C,Tabell21[[#This Row],[ÅR]],L:L)</f>
        <v>4</v>
      </c>
      <c r="T24" s="102">
        <f>IFERROR(Tabell21[[#This Row],[ANTAL MATCHER GM MÅL]]/Tabell21[[#This Row],[ANTAL MATCHER]],"")</f>
        <v>0.4</v>
      </c>
      <c r="U24" s="121">
        <f>SUMIF(C:C,Tabell21[[#This Row],[ÅR]],I:I)</f>
        <v>-44</v>
      </c>
      <c r="V24" s="122">
        <f>IFERROR(Tabell21[[#This Row],[MS]]/Tabell21[[#This Row],[ANTAL MATCHER]],"")</f>
        <v>-4.4000000000000004</v>
      </c>
      <c r="W24" s="101">
        <f>IFERROR(VLOOKUP(Tabell21[[#This Row],[ÅR]],'ALLA ÅR'!A:M,13,0),"")</f>
        <v>1</v>
      </c>
      <c r="X24" s="97">
        <v>0</v>
      </c>
      <c r="Y24" s="97">
        <v>2</v>
      </c>
      <c r="Z24" s="97">
        <v>8</v>
      </c>
      <c r="AA24" s="123">
        <f>IFERROR(Tabell21[[#This Row],[V]]/Tabell21[[#This Row],[ANTAL MATCHER]],"")</f>
        <v>0</v>
      </c>
      <c r="AB24" s="123">
        <f>IFERROR(Tabell21[[#This Row],[O]]/Tabell21[[#This Row],[ANTAL MATCHER]],"")</f>
        <v>0.2</v>
      </c>
      <c r="AC24" s="123">
        <f>IFERROR(Tabell21[[#This Row],[F]]/Tabell21[[#This Row],[ANTAL MATCHER]],"")</f>
        <v>0.8</v>
      </c>
      <c r="AE24" s="116" t="s">
        <v>278</v>
      </c>
      <c r="AF24" s="121">
        <f>COUNTIF(E:F,Tabell32[[#This Row],[MOTSTÅNDARE]])</f>
        <v>4</v>
      </c>
      <c r="AG24" s="121">
        <f>Tabell32[[#This Row],[MS]]+Tabell32[[#This Row],[MS2]]</f>
        <v>13</v>
      </c>
      <c r="AH24" s="121">
        <f>SUMIF(E:E,Tabell32[[#This Row],[MOTSTÅNDARE]],I:I)</f>
        <v>6</v>
      </c>
      <c r="AI24" s="121">
        <f>SUMIF(F:F,Tabell32[[#This Row],[MOTSTÅNDARE]],I:I)</f>
        <v>7</v>
      </c>
      <c r="AJ24" s="124">
        <f>Tabell32[[#This Row],[MS ÅHUS IF]]/Tabell32[[#This Row],[ÅHUS MATCHER]]</f>
        <v>3.25</v>
      </c>
      <c r="AK24" s="121">
        <f>(Tabell32[[#This Row],[VINST]]*3)+Tabell32[[#This Row],[OAVGJORT]]</f>
        <v>12</v>
      </c>
      <c r="AL24" s="124">
        <f>Tabell32[[#This Row],[POÄNG]]/Tabell32[[#This Row],[ÅHUS MATCHER]]</f>
        <v>3</v>
      </c>
      <c r="AM24" s="121">
        <f>IFERROR(Tabell32[[#This Row],[V H]]+Tabell32[[#This Row],[V B]],"0")</f>
        <v>4</v>
      </c>
      <c r="AN24" s="121">
        <f>IFERROR(Tabell32[[#This Row],[O H]]+Tabell32[[#This Row],[O B]],"0")</f>
        <v>0</v>
      </c>
      <c r="AO24" s="121">
        <f>IFERROR(Tabell32[[#This Row],[F H]]+Tabell32[[#This Row],[F B]],"0")</f>
        <v>0</v>
      </c>
      <c r="AP24" s="121">
        <f>SUMIF(MATCHHISTORIK[BORTALAG],Tabell32[[#This Row],[MOTSTÅNDARE]],MATCHHISTORIK[V])</f>
        <v>2</v>
      </c>
      <c r="AQ24" s="121">
        <f>SUMIF(MATCHHISTORIK[BORTALAG],Tabell32[[#This Row],[MOTSTÅNDARE]],MATCHHISTORIK[O])</f>
        <v>0</v>
      </c>
      <c r="AR24" s="97">
        <f>SUMIF(MATCHHISTORIK[BORTALAG],Tabell32[[#This Row],[MOTSTÅNDARE]],MATCHHISTORIK[F])</f>
        <v>0</v>
      </c>
      <c r="AS24" s="97">
        <f>SUMIF(MATCHHISTORIK[HEMMALAG],Tabell32[[#This Row],[MOTSTÅNDARE]],MATCHHISTORIK[V])</f>
        <v>2</v>
      </c>
      <c r="AT24" s="97">
        <f>SUMIF(MATCHHISTORIK[HEMMALAG],Tabell32[[#This Row],[MOTSTÅNDARE]],MATCHHISTORIK[O])</f>
        <v>0</v>
      </c>
      <c r="AU24" s="97">
        <f>SUMIF(MATCHHISTORIK[HEMMALAG],Tabell32[[#This Row],[MOTSTÅNDARE]],MATCHHISTORIK[F])</f>
        <v>0</v>
      </c>
    </row>
    <row r="25" spans="1:47" x14ac:dyDescent="0.25">
      <c r="A25" s="97">
        <v>11</v>
      </c>
      <c r="B25" s="97">
        <v>3</v>
      </c>
      <c r="C25" s="101">
        <v>2011</v>
      </c>
      <c r="D25" s="119">
        <v>40713</v>
      </c>
      <c r="E25" s="116" t="s">
        <v>254</v>
      </c>
      <c r="F25" s="116" t="s">
        <v>274</v>
      </c>
      <c r="G25" s="97">
        <v>0</v>
      </c>
      <c r="H25" s="97">
        <v>3</v>
      </c>
      <c r="I25" s="120">
        <v>-3</v>
      </c>
      <c r="J25" s="97">
        <v>3</v>
      </c>
      <c r="L25" s="97"/>
      <c r="O25" s="97">
        <v>1</v>
      </c>
      <c r="Q25" s="97">
        <v>2021</v>
      </c>
      <c r="R25" s="97">
        <f>COUNTIF(C:C,Tabell21[[#This Row],[ÅR]])</f>
        <v>11</v>
      </c>
      <c r="S25" s="97">
        <f>SUMIF(C:C,Tabell21[[#This Row],[ÅR]],L:L)</f>
        <v>9</v>
      </c>
      <c r="T25" s="102">
        <f>IFERROR(Tabell21[[#This Row],[ANTAL MATCHER GM MÅL]]/Tabell21[[#This Row],[ANTAL MATCHER]],"")</f>
        <v>0.81818181818181823</v>
      </c>
      <c r="U25" s="121">
        <f>SUMIF(C:C,Tabell21[[#This Row],[ÅR]],I:I)</f>
        <v>7</v>
      </c>
      <c r="V25" s="122">
        <f>IFERROR(Tabell21[[#This Row],[MS]]/Tabell21[[#This Row],[ANTAL MATCHER]],"")</f>
        <v>0.63636363636363635</v>
      </c>
      <c r="W25" s="101">
        <f>IFERROR(VLOOKUP(Tabell21[[#This Row],[ÅR]],'ALLA ÅR'!A:M,13,0),"")</f>
        <v>2</v>
      </c>
      <c r="X25" s="97">
        <v>5</v>
      </c>
      <c r="Y25" s="97">
        <v>2</v>
      </c>
      <c r="Z25" s="97">
        <v>4</v>
      </c>
      <c r="AA25" s="123">
        <f>IFERROR(Tabell21[[#This Row],[V]]/Tabell21[[#This Row],[ANTAL MATCHER]],"")</f>
        <v>0.45454545454545453</v>
      </c>
      <c r="AB25" s="123">
        <f>IFERROR(Tabell21[[#This Row],[O]]/Tabell21[[#This Row],[ANTAL MATCHER]],"")</f>
        <v>0.18181818181818182</v>
      </c>
      <c r="AC25" s="123">
        <f>IFERROR(Tabell21[[#This Row],[F]]/Tabell21[[#This Row],[ANTAL MATCHER]],"")</f>
        <v>0.36363636363636365</v>
      </c>
      <c r="AE25" s="116" t="s">
        <v>279</v>
      </c>
      <c r="AF25" s="121">
        <f>COUNTIF(E:F,Tabell32[[#This Row],[MOTSTÅNDARE]])</f>
        <v>4</v>
      </c>
      <c r="AG25" s="121">
        <f>Tabell32[[#This Row],[MS]]+Tabell32[[#This Row],[MS2]]</f>
        <v>12</v>
      </c>
      <c r="AH25" s="121">
        <f>SUMIF(E:E,Tabell32[[#This Row],[MOTSTÅNDARE]],I:I)</f>
        <v>2</v>
      </c>
      <c r="AI25" s="121">
        <f>SUMIF(F:F,Tabell32[[#This Row],[MOTSTÅNDARE]],I:I)</f>
        <v>10</v>
      </c>
      <c r="AJ25" s="124">
        <f>Tabell32[[#This Row],[MS ÅHUS IF]]/Tabell32[[#This Row],[ÅHUS MATCHER]]</f>
        <v>3</v>
      </c>
      <c r="AK25" s="121">
        <f>(Tabell32[[#This Row],[VINST]]*3)+Tabell32[[#This Row],[OAVGJORT]]</f>
        <v>12</v>
      </c>
      <c r="AL25" s="124">
        <f>Tabell32[[#This Row],[POÄNG]]/Tabell32[[#This Row],[ÅHUS MATCHER]]</f>
        <v>3</v>
      </c>
      <c r="AM25" s="121">
        <f>IFERROR(Tabell32[[#This Row],[V H]]+Tabell32[[#This Row],[V B]],"0")</f>
        <v>4</v>
      </c>
      <c r="AN25" s="121">
        <f>IFERROR(Tabell32[[#This Row],[O H]]+Tabell32[[#This Row],[O B]],"0")</f>
        <v>0</v>
      </c>
      <c r="AO25" s="121">
        <f>IFERROR(Tabell32[[#This Row],[F H]]+Tabell32[[#This Row],[F B]],"0")</f>
        <v>0</v>
      </c>
      <c r="AP25" s="121">
        <f>SUMIF(MATCHHISTORIK[BORTALAG],Tabell32[[#This Row],[MOTSTÅNDARE]],MATCHHISTORIK[V])</f>
        <v>2</v>
      </c>
      <c r="AQ25" s="121">
        <f>SUMIF(MATCHHISTORIK[BORTALAG],Tabell32[[#This Row],[MOTSTÅNDARE]],MATCHHISTORIK[O])</f>
        <v>0</v>
      </c>
      <c r="AR25" s="97">
        <f>SUMIF(MATCHHISTORIK[BORTALAG],Tabell32[[#This Row],[MOTSTÅNDARE]],MATCHHISTORIK[F])</f>
        <v>0</v>
      </c>
      <c r="AS25" s="97">
        <f>SUMIF(MATCHHISTORIK[HEMMALAG],Tabell32[[#This Row],[MOTSTÅNDARE]],MATCHHISTORIK[V])</f>
        <v>2</v>
      </c>
      <c r="AT25" s="97">
        <f>SUMIF(MATCHHISTORIK[HEMMALAG],Tabell32[[#This Row],[MOTSTÅNDARE]],MATCHHISTORIK[O])</f>
        <v>0</v>
      </c>
      <c r="AU25" s="97">
        <f>SUMIF(MATCHHISTORIK[HEMMALAG],Tabell32[[#This Row],[MOTSTÅNDARE]],MATCHHISTORIK[F])</f>
        <v>0</v>
      </c>
    </row>
    <row r="26" spans="1:47" x14ac:dyDescent="0.25">
      <c r="A26" s="97">
        <v>12</v>
      </c>
      <c r="B26" s="97">
        <v>3</v>
      </c>
      <c r="C26" s="101">
        <v>2011</v>
      </c>
      <c r="D26" s="119">
        <v>40717</v>
      </c>
      <c r="E26" s="116" t="s">
        <v>254</v>
      </c>
      <c r="F26" s="116" t="s">
        <v>253</v>
      </c>
      <c r="G26" s="97">
        <v>0</v>
      </c>
      <c r="H26" s="97">
        <v>0</v>
      </c>
      <c r="I26" s="120">
        <v>0</v>
      </c>
      <c r="J26" s="97">
        <v>0</v>
      </c>
      <c r="K26" s="97">
        <v>1</v>
      </c>
      <c r="L26" s="97"/>
      <c r="N26" s="97">
        <v>1</v>
      </c>
      <c r="Q26" s="97">
        <v>2022</v>
      </c>
      <c r="R26" s="97">
        <f>COUNTIF(C:C,Tabell21[[#This Row],[ÅR]])</f>
        <v>29</v>
      </c>
      <c r="S26" s="97">
        <f>SUMIF(C:C,Tabell21[[#This Row],[ÅR]],L:L)</f>
        <v>27</v>
      </c>
      <c r="T26" s="102">
        <f>IFERROR(Tabell21[[#This Row],[ANTAL MATCHER GM MÅL]]/Tabell21[[#This Row],[ANTAL MATCHER]],"")</f>
        <v>0.93103448275862066</v>
      </c>
      <c r="U26" s="121">
        <f>SUMIF(C:C,Tabell21[[#This Row],[ÅR]],I:I)</f>
        <v>71</v>
      </c>
      <c r="V26" s="122">
        <f>IFERROR(Tabell21[[#This Row],[MS]]/Tabell21[[#This Row],[ANTAL MATCHER]],"")</f>
        <v>2.4482758620689653</v>
      </c>
      <c r="W26" s="101">
        <f>IFERROR(VLOOKUP(Tabell21[[#This Row],[ÅR]],'ALLA ÅR'!A:M,13,0),"")</f>
        <v>2</v>
      </c>
      <c r="X26" s="97">
        <v>23</v>
      </c>
      <c r="Y26" s="97">
        <v>2</v>
      </c>
      <c r="Z26" s="97">
        <v>4</v>
      </c>
      <c r="AA26" s="123">
        <f>IFERROR(Tabell21[[#This Row],[V]]/Tabell21[[#This Row],[ANTAL MATCHER]],"")</f>
        <v>0.7931034482758621</v>
      </c>
      <c r="AB26" s="123">
        <f>IFERROR(Tabell21[[#This Row],[O]]/Tabell21[[#This Row],[ANTAL MATCHER]],"")</f>
        <v>6.8965517241379309E-2</v>
      </c>
      <c r="AC26" s="123">
        <f>IFERROR(Tabell21[[#This Row],[F]]/Tabell21[[#This Row],[ANTAL MATCHER]],"")</f>
        <v>0.13793103448275862</v>
      </c>
      <c r="AE26" s="116" t="s">
        <v>258</v>
      </c>
      <c r="AF26" s="121">
        <f>COUNTIF(E:F,Tabell32[[#This Row],[MOTSTÅNDARE]])</f>
        <v>11</v>
      </c>
      <c r="AG26" s="121">
        <f>Tabell32[[#This Row],[MS]]+Tabell32[[#This Row],[MS2]]</f>
        <v>-4</v>
      </c>
      <c r="AH26" s="121">
        <f>SUMIF(E:E,Tabell32[[#This Row],[MOTSTÅNDARE]],I:I)</f>
        <v>-2</v>
      </c>
      <c r="AI26" s="121">
        <f>SUMIF(F:F,Tabell32[[#This Row],[MOTSTÅNDARE]],I:I)</f>
        <v>-2</v>
      </c>
      <c r="AJ26" s="124">
        <f>Tabell32[[#This Row],[MS ÅHUS IF]]/Tabell32[[#This Row],[ÅHUS MATCHER]]</f>
        <v>-0.36363636363636365</v>
      </c>
      <c r="AK26" s="121">
        <f>(Tabell32[[#This Row],[VINST]]*3)+Tabell32[[#This Row],[OAVGJORT]]</f>
        <v>13</v>
      </c>
      <c r="AL26" s="124">
        <f>Tabell32[[#This Row],[POÄNG]]/Tabell32[[#This Row],[ÅHUS MATCHER]]</f>
        <v>1.1818181818181819</v>
      </c>
      <c r="AM26" s="121">
        <f>IFERROR(Tabell32[[#This Row],[V H]]+Tabell32[[#This Row],[V B]],"0")</f>
        <v>3</v>
      </c>
      <c r="AN26" s="121">
        <f>IFERROR(Tabell32[[#This Row],[O H]]+Tabell32[[#This Row],[O B]],"0")</f>
        <v>4</v>
      </c>
      <c r="AO26" s="121">
        <f>IFERROR(Tabell32[[#This Row],[F H]]+Tabell32[[#This Row],[F B]],"0")</f>
        <v>3</v>
      </c>
      <c r="AP26" s="121">
        <f>SUMIF(MATCHHISTORIK[BORTALAG],Tabell32[[#This Row],[MOTSTÅNDARE]],MATCHHISTORIK[V])</f>
        <v>1</v>
      </c>
      <c r="AQ26" s="121">
        <f>SUMIF(MATCHHISTORIK[BORTALAG],Tabell32[[#This Row],[MOTSTÅNDARE]],MATCHHISTORIK[O])</f>
        <v>2</v>
      </c>
      <c r="AR26" s="97">
        <f>SUMIF(MATCHHISTORIK[BORTALAG],Tabell32[[#This Row],[MOTSTÅNDARE]],MATCHHISTORIK[F])</f>
        <v>2</v>
      </c>
      <c r="AS26" s="97">
        <f>SUMIF(MATCHHISTORIK[HEMMALAG],Tabell32[[#This Row],[MOTSTÅNDARE]],MATCHHISTORIK[V])</f>
        <v>2</v>
      </c>
      <c r="AT26" s="97">
        <f>SUMIF(MATCHHISTORIK[HEMMALAG],Tabell32[[#This Row],[MOTSTÅNDARE]],MATCHHISTORIK[O])</f>
        <v>2</v>
      </c>
      <c r="AU26" s="97">
        <f>SUMIF(MATCHHISTORIK[HEMMALAG],Tabell32[[#This Row],[MOTSTÅNDARE]],MATCHHISTORIK[F])</f>
        <v>1</v>
      </c>
    </row>
    <row r="27" spans="1:47" x14ac:dyDescent="0.25">
      <c r="A27" s="97">
        <v>13</v>
      </c>
      <c r="B27" s="97">
        <v>3</v>
      </c>
      <c r="C27" s="101">
        <v>2011</v>
      </c>
      <c r="D27" s="119">
        <v>40725</v>
      </c>
      <c r="E27" s="116" t="s">
        <v>256</v>
      </c>
      <c r="F27" s="116" t="s">
        <v>254</v>
      </c>
      <c r="G27" s="97">
        <v>6</v>
      </c>
      <c r="H27" s="97">
        <v>1</v>
      </c>
      <c r="I27" s="120">
        <v>-5</v>
      </c>
      <c r="J27" s="97">
        <v>7</v>
      </c>
      <c r="L27" s="97">
        <v>1</v>
      </c>
      <c r="O27" s="97">
        <v>1</v>
      </c>
      <c r="Q27" s="97">
        <v>2023</v>
      </c>
      <c r="R27" s="97">
        <f>COUNTIF(C:C,Tabell21[[#This Row],[ÅR]])</f>
        <v>22</v>
      </c>
      <c r="S27" s="97">
        <f>SUMIF(C:C,Tabell21[[#This Row],[ÅR]],L:L)</f>
        <v>19</v>
      </c>
      <c r="T27" s="123">
        <f>IFERROR(Tabell21[[#This Row],[ANTAL MATCHER GM MÅL]]/Tabell21[[#This Row],[ANTAL MATCHER]],"")</f>
        <v>0.86363636363636365</v>
      </c>
      <c r="U27" s="121">
        <f>SUMIF(C:C,Tabell21[[#This Row],[ÅR]],I:I)</f>
        <v>12</v>
      </c>
      <c r="V27" s="122">
        <f>IFERROR(Tabell21[[#This Row],[MS]]/Tabell21[[#This Row],[ANTAL MATCHER]],"")</f>
        <v>0.54545454545454541</v>
      </c>
      <c r="W27" s="101">
        <f>IFERROR(VLOOKUP(Tabell21[[#This Row],[ÅR]],'ALLA ÅR'!A:M,13,0),"")</f>
        <v>2</v>
      </c>
      <c r="X27" s="97">
        <v>10</v>
      </c>
      <c r="Y27" s="97">
        <v>3</v>
      </c>
      <c r="Z27" s="97">
        <v>9</v>
      </c>
      <c r="AA27" s="123">
        <f>IFERROR(Tabell21[[#This Row],[V]]/Tabell21[[#This Row],[ANTAL MATCHER]],"")</f>
        <v>0.45454545454545453</v>
      </c>
      <c r="AB27" s="123">
        <f>IFERROR(Tabell21[[#This Row],[O]]/Tabell21[[#This Row],[ANTAL MATCHER]],"")</f>
        <v>0.13636363636363635</v>
      </c>
      <c r="AC27" s="123">
        <f>IFERROR(Tabell21[[#This Row],[F]]/Tabell21[[#This Row],[ANTAL MATCHER]],"")</f>
        <v>0.40909090909090912</v>
      </c>
      <c r="AE27" s="116" t="s">
        <v>272</v>
      </c>
      <c r="AF27" s="121">
        <f>COUNTIF(E:F,Tabell32[[#This Row],[MOTSTÅNDARE]])</f>
        <v>7</v>
      </c>
      <c r="AG27" s="121">
        <f>Tabell32[[#This Row],[MS]]+Tabell32[[#This Row],[MS2]]</f>
        <v>-8</v>
      </c>
      <c r="AH27" s="121">
        <f>SUMIF(E:E,Tabell32[[#This Row],[MOTSTÅNDARE]],I:I)</f>
        <v>-8</v>
      </c>
      <c r="AI27" s="121">
        <f>SUMIF(F:F,Tabell32[[#This Row],[MOTSTÅNDARE]],I:I)</f>
        <v>0</v>
      </c>
      <c r="AJ27" s="124">
        <f>Tabell32[[#This Row],[MS ÅHUS IF]]/Tabell32[[#This Row],[ÅHUS MATCHER]]</f>
        <v>-1.1428571428571428</v>
      </c>
      <c r="AK27" s="121">
        <f>(Tabell32[[#This Row],[VINST]]*3)+Tabell32[[#This Row],[OAVGJORT]]</f>
        <v>9</v>
      </c>
      <c r="AL27" s="124">
        <f>Tabell32[[#This Row],[POÄNG]]/Tabell32[[#This Row],[ÅHUS MATCHER]]</f>
        <v>1.2857142857142858</v>
      </c>
      <c r="AM27" s="121">
        <f>IFERROR(Tabell32[[#This Row],[V H]]+Tabell32[[#This Row],[V B]],"0")</f>
        <v>3</v>
      </c>
      <c r="AN27" s="121">
        <f>IFERROR(Tabell32[[#This Row],[O H]]+Tabell32[[#This Row],[O B]],"0")</f>
        <v>0</v>
      </c>
      <c r="AO27" s="121">
        <f>IFERROR(Tabell32[[#This Row],[F H]]+Tabell32[[#This Row],[F B]],"0")</f>
        <v>4</v>
      </c>
      <c r="AP27" s="121">
        <f>SUMIF(MATCHHISTORIK[BORTALAG],Tabell32[[#This Row],[MOTSTÅNDARE]],MATCHHISTORIK[V])</f>
        <v>1</v>
      </c>
      <c r="AQ27" s="121">
        <f>SUMIF(MATCHHISTORIK[BORTALAG],Tabell32[[#This Row],[MOTSTÅNDARE]],MATCHHISTORIK[O])</f>
        <v>0</v>
      </c>
      <c r="AR27" s="97">
        <f>SUMIF(MATCHHISTORIK[BORTALAG],Tabell32[[#This Row],[MOTSTÅNDARE]],MATCHHISTORIK[F])</f>
        <v>1</v>
      </c>
      <c r="AS27" s="97">
        <f>SUMIF(MATCHHISTORIK[HEMMALAG],Tabell32[[#This Row],[MOTSTÅNDARE]],MATCHHISTORIK[V])</f>
        <v>2</v>
      </c>
      <c r="AT27" s="97">
        <f>SUMIF(MATCHHISTORIK[HEMMALAG],Tabell32[[#This Row],[MOTSTÅNDARE]],MATCHHISTORIK[O])</f>
        <v>0</v>
      </c>
      <c r="AU27" s="97">
        <f>SUMIF(MATCHHISTORIK[HEMMALAG],Tabell32[[#This Row],[MOTSTÅNDARE]],MATCHHISTORIK[F])</f>
        <v>3</v>
      </c>
    </row>
    <row r="28" spans="1:47" x14ac:dyDescent="0.25">
      <c r="A28" s="97">
        <v>14</v>
      </c>
      <c r="B28" s="97">
        <v>3</v>
      </c>
      <c r="C28" s="101">
        <v>2011</v>
      </c>
      <c r="D28" s="119">
        <v>40769</v>
      </c>
      <c r="E28" s="116" t="s">
        <v>254</v>
      </c>
      <c r="F28" s="116" t="s">
        <v>258</v>
      </c>
      <c r="G28" s="97">
        <v>2</v>
      </c>
      <c r="H28" s="97">
        <v>2</v>
      </c>
      <c r="I28" s="120">
        <v>0</v>
      </c>
      <c r="J28" s="97">
        <v>4</v>
      </c>
      <c r="K28" s="97">
        <v>1</v>
      </c>
      <c r="L28" s="97">
        <v>1</v>
      </c>
      <c r="N28" s="97">
        <v>1</v>
      </c>
      <c r="Q28" s="97">
        <v>2024</v>
      </c>
      <c r="R28" s="97">
        <f>COUNTIF(C:C,Tabell21[[#This Row],[ÅR]])</f>
        <v>29</v>
      </c>
      <c r="S28" s="97">
        <f>SUMIF(C:C,Tabell21[[#This Row],[ÅR]],L:L)</f>
        <v>27</v>
      </c>
      <c r="T28" s="123">
        <f>IFERROR(Tabell21[[#This Row],[ANTAL MATCHER GM MÅL]]/Tabell21[[#This Row],[ANTAL MATCHER]],"")</f>
        <v>0.93103448275862066</v>
      </c>
      <c r="U28" s="121">
        <f>SUMIF(C:C,Tabell21[[#This Row],[ÅR]],I:I)</f>
        <v>72</v>
      </c>
      <c r="V28" s="122">
        <f>IFERROR(Tabell21[[#This Row],[MS]]/Tabell21[[#This Row],[ANTAL MATCHER]],"")</f>
        <v>2.4827586206896552</v>
      </c>
      <c r="W28" s="101">
        <f>IFERROR(VLOOKUP(Tabell21[[#This Row],[ÅR]],'ALLA ÅR'!A:M,13,0),"")</f>
        <v>2</v>
      </c>
      <c r="X28" s="97">
        <v>24</v>
      </c>
      <c r="Z28" s="97">
        <v>5</v>
      </c>
      <c r="AA28" s="123">
        <f>IFERROR(Tabell21[[#This Row],[V]]/Tabell21[[#This Row],[ANTAL MATCHER]],"")</f>
        <v>0.82758620689655171</v>
      </c>
      <c r="AB28" s="123">
        <f>IFERROR(Tabell21[[#This Row],[O]]/Tabell21[[#This Row],[ANTAL MATCHER]],"")</f>
        <v>0</v>
      </c>
      <c r="AC28" s="123">
        <f>IFERROR(Tabell21[[#This Row],[F]]/Tabell21[[#This Row],[ANTAL MATCHER]],"")</f>
        <v>0.17241379310344829</v>
      </c>
      <c r="AE28" s="116" t="s">
        <v>274</v>
      </c>
      <c r="AF28" s="121">
        <f>COUNTIF(E:F,Tabell32[[#This Row],[MOTSTÅNDARE]])</f>
        <v>6</v>
      </c>
      <c r="AG28" s="121">
        <f>Tabell32[[#This Row],[MS]]+Tabell32[[#This Row],[MS2]]</f>
        <v>3</v>
      </c>
      <c r="AH28" s="121">
        <f>SUMIF(E:E,Tabell32[[#This Row],[MOTSTÅNDARE]],I:I)</f>
        <v>0</v>
      </c>
      <c r="AI28" s="121">
        <f>SUMIF(F:F,Tabell32[[#This Row],[MOTSTÅNDARE]],I:I)</f>
        <v>3</v>
      </c>
      <c r="AJ28" s="124">
        <f>Tabell32[[#This Row],[MS ÅHUS IF]]/Tabell32[[#This Row],[ÅHUS MATCHER]]</f>
        <v>0.5</v>
      </c>
      <c r="AK28" s="121">
        <f>(Tabell32[[#This Row],[VINST]]*3)+Tabell32[[#This Row],[OAVGJORT]]</f>
        <v>9</v>
      </c>
      <c r="AL28" s="124">
        <f>Tabell32[[#This Row],[POÄNG]]/Tabell32[[#This Row],[ÅHUS MATCHER]]</f>
        <v>1.5</v>
      </c>
      <c r="AM28" s="121">
        <f>IFERROR(Tabell32[[#This Row],[V H]]+Tabell32[[#This Row],[V B]],"0")</f>
        <v>3</v>
      </c>
      <c r="AN28" s="121">
        <f>IFERROR(Tabell32[[#This Row],[O H]]+Tabell32[[#This Row],[O B]],"0")</f>
        <v>0</v>
      </c>
      <c r="AO28" s="121">
        <f>IFERROR(Tabell32[[#This Row],[F H]]+Tabell32[[#This Row],[F B]],"0")</f>
        <v>3</v>
      </c>
      <c r="AP28" s="121">
        <f>SUMIF(MATCHHISTORIK[BORTALAG],Tabell32[[#This Row],[MOTSTÅNDARE]],MATCHHISTORIK[V])</f>
        <v>1</v>
      </c>
      <c r="AQ28" s="121">
        <f>SUMIF(MATCHHISTORIK[BORTALAG],Tabell32[[#This Row],[MOTSTÅNDARE]],MATCHHISTORIK[O])</f>
        <v>0</v>
      </c>
      <c r="AR28" s="97">
        <f>SUMIF(MATCHHISTORIK[BORTALAG],Tabell32[[#This Row],[MOTSTÅNDARE]],MATCHHISTORIK[F])</f>
        <v>2</v>
      </c>
      <c r="AS28" s="97">
        <f>SUMIF(MATCHHISTORIK[HEMMALAG],Tabell32[[#This Row],[MOTSTÅNDARE]],MATCHHISTORIK[V])</f>
        <v>2</v>
      </c>
      <c r="AT28" s="97">
        <f>SUMIF(MATCHHISTORIK[HEMMALAG],Tabell32[[#This Row],[MOTSTÅNDARE]],MATCHHISTORIK[O])</f>
        <v>0</v>
      </c>
      <c r="AU28" s="97">
        <f>SUMIF(MATCHHISTORIK[HEMMALAG],Tabell32[[#This Row],[MOTSTÅNDARE]],MATCHHISTORIK[F])</f>
        <v>1</v>
      </c>
    </row>
    <row r="29" spans="1:47" x14ac:dyDescent="0.25">
      <c r="A29" s="97">
        <v>15</v>
      </c>
      <c r="B29" s="97">
        <v>3</v>
      </c>
      <c r="C29" s="101">
        <v>2011</v>
      </c>
      <c r="D29" s="119">
        <v>40776</v>
      </c>
      <c r="E29" s="116" t="s">
        <v>254</v>
      </c>
      <c r="F29" s="116" t="s">
        <v>260</v>
      </c>
      <c r="G29" s="97">
        <v>0</v>
      </c>
      <c r="H29" s="97">
        <v>0</v>
      </c>
      <c r="I29" s="120">
        <v>0</v>
      </c>
      <c r="J29" s="97">
        <v>0</v>
      </c>
      <c r="K29" s="97">
        <v>2</v>
      </c>
      <c r="L29" s="97"/>
      <c r="N29" s="97">
        <v>1</v>
      </c>
      <c r="Q29" s="97">
        <v>2025</v>
      </c>
      <c r="R29" s="97">
        <f>COUNTIF(C:C,Tabell21[[#This Row],[ÅR]])</f>
        <v>4</v>
      </c>
      <c r="S29" s="97">
        <f>SUMIF(C:C,Tabell21[[#This Row],[ÅR]],L:L)</f>
        <v>3</v>
      </c>
      <c r="T29" s="123">
        <f>IFERROR(Tabell21[[#This Row],[ANTAL MATCHER GM MÅL]]/Tabell21[[#This Row],[ANTAL MATCHER]],"")</f>
        <v>0.75</v>
      </c>
      <c r="U29" s="121">
        <f>SUMIF(C:C,Tabell21[[#This Row],[ÅR]],I:I)</f>
        <v>0</v>
      </c>
      <c r="V29" s="122">
        <f>IFERROR(Tabell21[[#This Row],[MS]]/Tabell21[[#This Row],[ANTAL MATCHER]],"")</f>
        <v>0</v>
      </c>
      <c r="W29" s="101">
        <f>IFERROR(VLOOKUP(Tabell21[[#This Row],[ÅR]],'ALLA ÅR'!A:M,13,0),"")</f>
        <v>2</v>
      </c>
      <c r="X29" s="97">
        <v>2</v>
      </c>
      <c r="Y29" s="97">
        <v>1</v>
      </c>
      <c r="Z29" s="97">
        <v>1</v>
      </c>
      <c r="AA29" s="123">
        <f>IFERROR(Tabell21[[#This Row],[V]]/Tabell21[[#This Row],[ANTAL MATCHER]],"")</f>
        <v>0.5</v>
      </c>
      <c r="AB29" s="123">
        <f>IFERROR(Tabell21[[#This Row],[O]]/Tabell21[[#This Row],[ANTAL MATCHER]],"")</f>
        <v>0.25</v>
      </c>
      <c r="AC29" s="123">
        <f>IFERROR(Tabell21[[#This Row],[F]]/Tabell21[[#This Row],[ANTAL MATCHER]],"")</f>
        <v>0.25</v>
      </c>
      <c r="AE29" s="116" t="s">
        <v>314</v>
      </c>
      <c r="AF29" s="121">
        <f>COUNTIF(E:F,Tabell32[[#This Row],[MOTSTÅNDARE]])</f>
        <v>5</v>
      </c>
      <c r="AG29" s="121">
        <f>Tabell32[[#This Row],[MS]]+Tabell32[[#This Row],[MS2]]</f>
        <v>2</v>
      </c>
      <c r="AH29" s="121">
        <f>SUMIF(E:E,Tabell32[[#This Row],[MOTSTÅNDARE]],I:I)</f>
        <v>2</v>
      </c>
      <c r="AI29" s="121">
        <f>SUMIF(F:F,Tabell32[[#This Row],[MOTSTÅNDARE]],I:I)</f>
        <v>0</v>
      </c>
      <c r="AJ29" s="124">
        <f>Tabell32[[#This Row],[MS ÅHUS IF]]/Tabell32[[#This Row],[ÅHUS MATCHER]]</f>
        <v>0.4</v>
      </c>
      <c r="AK29" s="121">
        <f>(Tabell32[[#This Row],[VINST]]*3)+Tabell32[[#This Row],[OAVGJORT]]</f>
        <v>9</v>
      </c>
      <c r="AL29" s="124">
        <f>Tabell32[[#This Row],[POÄNG]]/Tabell32[[#This Row],[ÅHUS MATCHER]]</f>
        <v>1.8</v>
      </c>
      <c r="AM29" s="121">
        <f>IFERROR(Tabell32[[#This Row],[V H]]+Tabell32[[#This Row],[V B]],"0")</f>
        <v>3</v>
      </c>
      <c r="AN29" s="121">
        <f>IFERROR(Tabell32[[#This Row],[O H]]+Tabell32[[#This Row],[O B]],"0")</f>
        <v>0</v>
      </c>
      <c r="AO29" s="121">
        <f>IFERROR(Tabell32[[#This Row],[F H]]+Tabell32[[#This Row],[F B]],"0")</f>
        <v>2</v>
      </c>
      <c r="AP29" s="121">
        <f>SUMIF(MATCHHISTORIK[BORTALAG],Tabell32[[#This Row],[MOTSTÅNDARE]],MATCHHISTORIK[V])</f>
        <v>1</v>
      </c>
      <c r="AQ29" s="121">
        <f>SUMIF(MATCHHISTORIK[BORTALAG],Tabell32[[#This Row],[MOTSTÅNDARE]],MATCHHISTORIK[O])</f>
        <v>0</v>
      </c>
      <c r="AR29" s="97">
        <f>SUMIF(MATCHHISTORIK[BORTALAG],Tabell32[[#This Row],[MOTSTÅNDARE]],MATCHHISTORIK[F])</f>
        <v>1</v>
      </c>
      <c r="AS29" s="97">
        <f>SUMIF(MATCHHISTORIK[HEMMALAG],Tabell32[[#This Row],[MOTSTÅNDARE]],MATCHHISTORIK[V])</f>
        <v>2</v>
      </c>
      <c r="AT29" s="97">
        <f>SUMIF(MATCHHISTORIK[HEMMALAG],Tabell32[[#This Row],[MOTSTÅNDARE]],MATCHHISTORIK[O])</f>
        <v>0</v>
      </c>
      <c r="AU29" s="97">
        <f>SUMIF(MATCHHISTORIK[HEMMALAG],Tabell32[[#This Row],[MOTSTÅNDARE]],MATCHHISTORIK[F])</f>
        <v>1</v>
      </c>
    </row>
    <row r="30" spans="1:47" x14ac:dyDescent="0.25">
      <c r="A30" s="97">
        <v>16</v>
      </c>
      <c r="B30" s="97">
        <v>3</v>
      </c>
      <c r="C30" s="101">
        <v>2011</v>
      </c>
      <c r="D30" s="119">
        <v>40779</v>
      </c>
      <c r="E30" s="116" t="s">
        <v>262</v>
      </c>
      <c r="F30" s="116" t="s">
        <v>254</v>
      </c>
      <c r="G30" s="97">
        <v>2</v>
      </c>
      <c r="H30" s="97">
        <v>2</v>
      </c>
      <c r="I30" s="120">
        <v>0</v>
      </c>
      <c r="J30" s="97">
        <v>4</v>
      </c>
      <c r="K30" s="97">
        <v>3</v>
      </c>
      <c r="L30" s="97">
        <v>1</v>
      </c>
      <c r="N30" s="97">
        <v>1</v>
      </c>
      <c r="Q30" s="97">
        <v>2026</v>
      </c>
      <c r="R30" s="97">
        <f>COUNTIF(C:C,Tabell21[[#This Row],[ÅR]])</f>
        <v>4</v>
      </c>
      <c r="S30" s="97">
        <f>SUMIF(C:C,Tabell21[[#This Row],[ÅR]],L:L)</f>
        <v>3</v>
      </c>
      <c r="T30" s="102">
        <f>IFERROR(Tabell21[[#This Row],[ANTAL MATCHER GM MÅL]]/Tabell21[[#This Row],[ANTAL MATCHER]],"")</f>
        <v>0.75</v>
      </c>
      <c r="U30" s="121">
        <f>SUMIF(C:C,Tabell21[[#This Row],[ÅR]],I:I)</f>
        <v>20</v>
      </c>
      <c r="V30" s="122">
        <f>IFERROR(Tabell21[[#This Row],[MS]]/Tabell21[[#This Row],[ANTAL MATCHER]],"")</f>
        <v>5</v>
      </c>
      <c r="W30" s="101">
        <f>IFERROR(VLOOKUP(Tabell21[[#This Row],[ÅR]],'ALLA ÅR'!A:M,13,0),"")</f>
        <v>4</v>
      </c>
      <c r="X30" s="97">
        <v>2</v>
      </c>
      <c r="Y30" s="97">
        <v>1</v>
      </c>
      <c r="Z30" s="97">
        <v>1</v>
      </c>
      <c r="AA30" s="123">
        <f>IFERROR(Tabell21[[#This Row],[V]]/Tabell21[[#This Row],[ANTAL MATCHER]],"")</f>
        <v>0.5</v>
      </c>
      <c r="AB30" s="123">
        <f>IFERROR(Tabell21[[#This Row],[O]]/Tabell21[[#This Row],[ANTAL MATCHER]],"")</f>
        <v>0.25</v>
      </c>
      <c r="AC30" s="123">
        <f>IFERROR(Tabell21[[#This Row],[F]]/Tabell21[[#This Row],[ANTAL MATCHER]],"")</f>
        <v>0.25</v>
      </c>
      <c r="AE30" s="116" t="s">
        <v>292</v>
      </c>
      <c r="AF30" s="121">
        <f>COUNTIF(E:F,Tabell32[[#This Row],[MOTSTÅNDARE]])</f>
        <v>5</v>
      </c>
      <c r="AG30" s="121">
        <f>Tabell32[[#This Row],[MS]]+Tabell32[[#This Row],[MS2]]</f>
        <v>8</v>
      </c>
      <c r="AH30" s="121">
        <f>SUMIF(E:E,Tabell32[[#This Row],[MOTSTÅNDARE]],I:I)</f>
        <v>-1</v>
      </c>
      <c r="AI30" s="121">
        <f>SUMIF(F:F,Tabell32[[#This Row],[MOTSTÅNDARE]],I:I)</f>
        <v>9</v>
      </c>
      <c r="AJ30" s="124">
        <f>Tabell32[[#This Row],[MS ÅHUS IF]]/Tabell32[[#This Row],[ÅHUS MATCHER]]</f>
        <v>1.6</v>
      </c>
      <c r="AK30" s="121">
        <f>(Tabell32[[#This Row],[VINST]]*3)+Tabell32[[#This Row],[OAVGJORT]]</f>
        <v>10</v>
      </c>
      <c r="AL30" s="124">
        <f>Tabell32[[#This Row],[POÄNG]]/Tabell32[[#This Row],[ÅHUS MATCHER]]</f>
        <v>2</v>
      </c>
      <c r="AM30" s="121">
        <f>IFERROR(Tabell32[[#This Row],[V H]]+Tabell32[[#This Row],[V B]],"0")</f>
        <v>3</v>
      </c>
      <c r="AN30" s="121">
        <f>IFERROR(Tabell32[[#This Row],[O H]]+Tabell32[[#This Row],[O B]],"0")</f>
        <v>1</v>
      </c>
      <c r="AO30" s="121">
        <f>IFERROR(Tabell32[[#This Row],[F H]]+Tabell32[[#This Row],[F B]],"0")</f>
        <v>1</v>
      </c>
      <c r="AP30" s="121">
        <f>SUMIF(MATCHHISTORIK[BORTALAG],Tabell32[[#This Row],[MOTSTÅNDARE]],MATCHHISTORIK[V])</f>
        <v>2</v>
      </c>
      <c r="AQ30" s="121">
        <f>SUMIF(MATCHHISTORIK[BORTALAG],Tabell32[[#This Row],[MOTSTÅNDARE]],MATCHHISTORIK[O])</f>
        <v>0</v>
      </c>
      <c r="AR30" s="97">
        <f>SUMIF(MATCHHISTORIK[BORTALAG],Tabell32[[#This Row],[MOTSTÅNDARE]],MATCHHISTORIK[F])</f>
        <v>0</v>
      </c>
      <c r="AS30" s="97">
        <f>SUMIF(MATCHHISTORIK[HEMMALAG],Tabell32[[#This Row],[MOTSTÅNDARE]],MATCHHISTORIK[V])</f>
        <v>1</v>
      </c>
      <c r="AT30" s="97">
        <f>SUMIF(MATCHHISTORIK[HEMMALAG],Tabell32[[#This Row],[MOTSTÅNDARE]],MATCHHISTORIK[O])</f>
        <v>1</v>
      </c>
      <c r="AU30" s="97">
        <f>SUMIF(MATCHHISTORIK[HEMMALAG],Tabell32[[#This Row],[MOTSTÅNDARE]],MATCHHISTORIK[F])</f>
        <v>1</v>
      </c>
    </row>
    <row r="31" spans="1:47" x14ac:dyDescent="0.25">
      <c r="A31" s="97">
        <v>17</v>
      </c>
      <c r="B31" s="97">
        <v>3</v>
      </c>
      <c r="C31" s="101">
        <v>2011</v>
      </c>
      <c r="D31" s="119">
        <v>40783</v>
      </c>
      <c r="E31" s="116" t="s">
        <v>254</v>
      </c>
      <c r="F31" s="116" t="s">
        <v>264</v>
      </c>
      <c r="G31" s="97">
        <v>3</v>
      </c>
      <c r="H31" s="97">
        <v>3</v>
      </c>
      <c r="I31" s="120">
        <v>0</v>
      </c>
      <c r="J31" s="97">
        <v>6</v>
      </c>
      <c r="K31" s="97">
        <v>4</v>
      </c>
      <c r="L31" s="97">
        <v>1</v>
      </c>
      <c r="N31" s="97">
        <v>1</v>
      </c>
      <c r="Q31" s="97" t="s">
        <v>412</v>
      </c>
      <c r="R31" s="97">
        <f>SUBTOTAL(109,Tabell21[ANTAL MATCHER])</f>
        <v>271</v>
      </c>
      <c r="S31" s="97">
        <f>SUBTOTAL(109,Tabell21[ANTAL MATCHER GM MÅL])</f>
        <v>233</v>
      </c>
      <c r="T31" s="123">
        <f>Tabell21[[#Totals],[ANTAL MATCHER GM MÅL]]/Tabell21[[#Totals],[ANTAL MATCHER]]</f>
        <v>0.85977859778597787</v>
      </c>
      <c r="U31" s="121">
        <f>SUBTOTAL(109,Tabell21[MS])</f>
        <v>356</v>
      </c>
      <c r="V31" s="100">
        <f>Tabell21[[#Totals],[MS]]/Tabell21[[#Totals],[ANTAL MATCHER]]</f>
        <v>1.3136531365313653</v>
      </c>
      <c r="W31" s="97"/>
      <c r="X31" s="97">
        <f>SUBTOTAL(109,Tabell21[V])</f>
        <v>152</v>
      </c>
      <c r="Y31" s="97">
        <f>SUBTOTAL(109,Tabell21[O])</f>
        <v>39</v>
      </c>
      <c r="Z31" s="97">
        <f>SUBTOTAL(109,Tabell21[F])</f>
        <v>80</v>
      </c>
      <c r="AA31" s="123">
        <f>Tabell21[[#Totals],[V]]/Tabell21[[#Totals],[ANTAL MATCHER]]</f>
        <v>0.56088560885608851</v>
      </c>
      <c r="AB31" s="123">
        <f>Tabell21[[#Totals],[O]]/Tabell21[[#Totals],[ANTAL MATCHER]]</f>
        <v>0.14391143911439114</v>
      </c>
      <c r="AC31" s="123">
        <f>Tabell21[[#Totals],[F]]/Tabell21[[#Totals],[ANTAL MATCHER]]</f>
        <v>0.29520295202952029</v>
      </c>
      <c r="AE31" s="116" t="s">
        <v>288</v>
      </c>
      <c r="AF31" s="121">
        <f>COUNTIF(E:F,Tabell32[[#This Row],[MOTSTÅNDARE]])</f>
        <v>4</v>
      </c>
      <c r="AG31" s="121">
        <f>Tabell32[[#This Row],[MS]]+Tabell32[[#This Row],[MS2]]</f>
        <v>9</v>
      </c>
      <c r="AH31" s="121">
        <f>SUMIF(E:E,Tabell32[[#This Row],[MOTSTÅNDARE]],I:I)</f>
        <v>2</v>
      </c>
      <c r="AI31" s="121">
        <f>SUMIF(F:F,Tabell32[[#This Row],[MOTSTÅNDARE]],I:I)</f>
        <v>7</v>
      </c>
      <c r="AJ31" s="124">
        <f>Tabell32[[#This Row],[MS ÅHUS IF]]/Tabell32[[#This Row],[ÅHUS MATCHER]]</f>
        <v>2.25</v>
      </c>
      <c r="AK31" s="121">
        <f>(Tabell32[[#This Row],[VINST]]*3)+Tabell32[[#This Row],[OAVGJORT]]</f>
        <v>9</v>
      </c>
      <c r="AL31" s="124">
        <f>Tabell32[[#This Row],[POÄNG]]/Tabell32[[#This Row],[ÅHUS MATCHER]]</f>
        <v>2.25</v>
      </c>
      <c r="AM31" s="121">
        <f>IFERROR(Tabell32[[#This Row],[V H]]+Tabell32[[#This Row],[V B]],"0")</f>
        <v>3</v>
      </c>
      <c r="AN31" s="121">
        <f>IFERROR(Tabell32[[#This Row],[O H]]+Tabell32[[#This Row],[O B]],"0")</f>
        <v>0</v>
      </c>
      <c r="AO31" s="121">
        <f>IFERROR(Tabell32[[#This Row],[F H]]+Tabell32[[#This Row],[F B]],"0")</f>
        <v>1</v>
      </c>
      <c r="AP31" s="121">
        <f>SUMIF(MATCHHISTORIK[BORTALAG],Tabell32[[#This Row],[MOTSTÅNDARE]],MATCHHISTORIK[V])</f>
        <v>2</v>
      </c>
      <c r="AQ31" s="121">
        <f>SUMIF(MATCHHISTORIK[BORTALAG],Tabell32[[#This Row],[MOTSTÅNDARE]],MATCHHISTORIK[O])</f>
        <v>0</v>
      </c>
      <c r="AR31" s="97">
        <f>SUMIF(MATCHHISTORIK[BORTALAG],Tabell32[[#This Row],[MOTSTÅNDARE]],MATCHHISTORIK[F])</f>
        <v>1</v>
      </c>
      <c r="AS31" s="97">
        <f>SUMIF(MATCHHISTORIK[HEMMALAG],Tabell32[[#This Row],[MOTSTÅNDARE]],MATCHHISTORIK[V])</f>
        <v>1</v>
      </c>
      <c r="AT31" s="97">
        <f>SUMIF(MATCHHISTORIK[HEMMALAG],Tabell32[[#This Row],[MOTSTÅNDARE]],MATCHHISTORIK[O])</f>
        <v>0</v>
      </c>
      <c r="AU31" s="97">
        <f>SUMIF(MATCHHISTORIK[HEMMALAG],Tabell32[[#This Row],[MOTSTÅNDARE]],MATCHHISTORIK[F])</f>
        <v>0</v>
      </c>
    </row>
    <row r="32" spans="1:47" x14ac:dyDescent="0.25">
      <c r="A32" s="97">
        <v>18</v>
      </c>
      <c r="B32" s="97">
        <v>3</v>
      </c>
      <c r="C32" s="101">
        <v>2011</v>
      </c>
      <c r="D32" s="119">
        <v>40790</v>
      </c>
      <c r="E32" s="116" t="s">
        <v>266</v>
      </c>
      <c r="F32" s="116" t="s">
        <v>254</v>
      </c>
      <c r="G32" s="97">
        <v>2</v>
      </c>
      <c r="H32" s="97">
        <v>4</v>
      </c>
      <c r="I32" s="120">
        <v>2</v>
      </c>
      <c r="J32" s="97">
        <v>6</v>
      </c>
      <c r="K32" s="97">
        <v>5</v>
      </c>
      <c r="L32" s="97">
        <v>1</v>
      </c>
      <c r="M32" s="97">
        <v>1</v>
      </c>
      <c r="AE32" s="116" t="s">
        <v>286</v>
      </c>
      <c r="AF32" s="121">
        <f>COUNTIF(E:F,Tabell32[[#This Row],[MOTSTÅNDARE]])</f>
        <v>4</v>
      </c>
      <c r="AG32" s="121">
        <f>Tabell32[[#This Row],[MS]]+Tabell32[[#This Row],[MS2]]</f>
        <v>9</v>
      </c>
      <c r="AH32" s="121">
        <f>SUMIF(E:E,Tabell32[[#This Row],[MOTSTÅNDARE]],I:I)</f>
        <v>1</v>
      </c>
      <c r="AI32" s="121">
        <f>SUMIF(F:F,Tabell32[[#This Row],[MOTSTÅNDARE]],I:I)</f>
        <v>8</v>
      </c>
      <c r="AJ32" s="124">
        <f>Tabell32[[#This Row],[MS ÅHUS IF]]/Tabell32[[#This Row],[ÅHUS MATCHER]]</f>
        <v>2.25</v>
      </c>
      <c r="AK32" s="121">
        <f>(Tabell32[[#This Row],[VINST]]*3)+Tabell32[[#This Row],[OAVGJORT]]</f>
        <v>9</v>
      </c>
      <c r="AL32" s="124">
        <f>Tabell32[[#This Row],[POÄNG]]/Tabell32[[#This Row],[ÅHUS MATCHER]]</f>
        <v>2.25</v>
      </c>
      <c r="AM32" s="121">
        <f>IFERROR(Tabell32[[#This Row],[V H]]+Tabell32[[#This Row],[V B]],"0")</f>
        <v>3</v>
      </c>
      <c r="AN32" s="121">
        <f>IFERROR(Tabell32[[#This Row],[O H]]+Tabell32[[#This Row],[O B]],"0")</f>
        <v>0</v>
      </c>
      <c r="AO32" s="121">
        <f>IFERROR(Tabell32[[#This Row],[F H]]+Tabell32[[#This Row],[F B]],"0")</f>
        <v>1</v>
      </c>
      <c r="AP32" s="121">
        <f>SUMIF(MATCHHISTORIK[BORTALAG],Tabell32[[#This Row],[MOTSTÅNDARE]],MATCHHISTORIK[V])</f>
        <v>2</v>
      </c>
      <c r="AQ32" s="121">
        <f>SUMIF(MATCHHISTORIK[BORTALAG],Tabell32[[#This Row],[MOTSTÅNDARE]],MATCHHISTORIK[O])</f>
        <v>0</v>
      </c>
      <c r="AR32" s="97">
        <f>SUMIF(MATCHHISTORIK[BORTALAG],Tabell32[[#This Row],[MOTSTÅNDARE]],MATCHHISTORIK[F])</f>
        <v>0</v>
      </c>
      <c r="AS32" s="97">
        <f>SUMIF(MATCHHISTORIK[HEMMALAG],Tabell32[[#This Row],[MOTSTÅNDARE]],MATCHHISTORIK[V])</f>
        <v>1</v>
      </c>
      <c r="AT32" s="97">
        <f>SUMIF(MATCHHISTORIK[HEMMALAG],Tabell32[[#This Row],[MOTSTÅNDARE]],MATCHHISTORIK[O])</f>
        <v>0</v>
      </c>
      <c r="AU32" s="97">
        <f>SUMIF(MATCHHISTORIK[HEMMALAG],Tabell32[[#This Row],[MOTSTÅNDARE]],MATCHHISTORIK[F])</f>
        <v>1</v>
      </c>
    </row>
    <row r="33" spans="1:47" x14ac:dyDescent="0.25">
      <c r="A33" s="97">
        <v>19</v>
      </c>
      <c r="B33" s="97">
        <v>3</v>
      </c>
      <c r="C33" s="101">
        <v>2011</v>
      </c>
      <c r="D33" s="119">
        <v>40797</v>
      </c>
      <c r="E33" s="116" t="s">
        <v>254</v>
      </c>
      <c r="F33" s="116" t="s">
        <v>268</v>
      </c>
      <c r="G33" s="97">
        <v>1</v>
      </c>
      <c r="H33" s="97">
        <v>1</v>
      </c>
      <c r="I33" s="120">
        <v>0</v>
      </c>
      <c r="J33" s="97">
        <v>2</v>
      </c>
      <c r="K33" s="97">
        <v>6</v>
      </c>
      <c r="L33" s="97">
        <v>1</v>
      </c>
      <c r="N33" s="97">
        <v>1</v>
      </c>
      <c r="T33" s="99"/>
      <c r="AE33" s="116" t="s">
        <v>284</v>
      </c>
      <c r="AF33" s="121">
        <f>COUNTIF(E:F,Tabell32[[#This Row],[MOTSTÅNDARE]])</f>
        <v>4</v>
      </c>
      <c r="AG33" s="121">
        <f>Tabell32[[#This Row],[MS]]+Tabell32[[#This Row],[MS2]]</f>
        <v>11</v>
      </c>
      <c r="AH33" s="121">
        <f>SUMIF(E:E,Tabell32[[#This Row],[MOTSTÅNDARE]],I:I)</f>
        <v>5</v>
      </c>
      <c r="AI33" s="121">
        <f>SUMIF(F:F,Tabell32[[#This Row],[MOTSTÅNDARE]],I:I)</f>
        <v>6</v>
      </c>
      <c r="AJ33" s="124">
        <f>Tabell32[[#This Row],[MS ÅHUS IF]]/Tabell32[[#This Row],[ÅHUS MATCHER]]</f>
        <v>2.75</v>
      </c>
      <c r="AK33" s="121">
        <f>(Tabell32[[#This Row],[VINST]]*3)+Tabell32[[#This Row],[OAVGJORT]]</f>
        <v>10</v>
      </c>
      <c r="AL33" s="124">
        <f>Tabell32[[#This Row],[POÄNG]]/Tabell32[[#This Row],[ÅHUS MATCHER]]</f>
        <v>2.5</v>
      </c>
      <c r="AM33" s="121">
        <f>IFERROR(Tabell32[[#This Row],[V H]]+Tabell32[[#This Row],[V B]],"0")</f>
        <v>3</v>
      </c>
      <c r="AN33" s="121">
        <f>IFERROR(Tabell32[[#This Row],[O H]]+Tabell32[[#This Row],[O B]],"0")</f>
        <v>1</v>
      </c>
      <c r="AO33" s="121">
        <f>IFERROR(Tabell32[[#This Row],[F H]]+Tabell32[[#This Row],[F B]],"0")</f>
        <v>0</v>
      </c>
      <c r="AP33" s="121">
        <f>SUMIF(MATCHHISTORIK[BORTALAG],Tabell32[[#This Row],[MOTSTÅNDARE]],MATCHHISTORIK[V])</f>
        <v>2</v>
      </c>
      <c r="AQ33" s="121">
        <f>SUMIF(MATCHHISTORIK[BORTALAG],Tabell32[[#This Row],[MOTSTÅNDARE]],MATCHHISTORIK[O])</f>
        <v>0</v>
      </c>
      <c r="AR33" s="97">
        <f>SUMIF(MATCHHISTORIK[BORTALAG],Tabell32[[#This Row],[MOTSTÅNDARE]],MATCHHISTORIK[F])</f>
        <v>0</v>
      </c>
      <c r="AS33" s="97">
        <f>SUMIF(MATCHHISTORIK[HEMMALAG],Tabell32[[#This Row],[MOTSTÅNDARE]],MATCHHISTORIK[V])</f>
        <v>1</v>
      </c>
      <c r="AT33" s="97">
        <f>SUMIF(MATCHHISTORIK[HEMMALAG],Tabell32[[#This Row],[MOTSTÅNDARE]],MATCHHISTORIK[O])</f>
        <v>1</v>
      </c>
      <c r="AU33" s="97">
        <f>SUMIF(MATCHHISTORIK[HEMMALAG],Tabell32[[#This Row],[MOTSTÅNDARE]],MATCHHISTORIK[F])</f>
        <v>0</v>
      </c>
    </row>
    <row r="34" spans="1:47" x14ac:dyDescent="0.25">
      <c r="A34" s="97">
        <v>20</v>
      </c>
      <c r="B34" s="97">
        <v>3</v>
      </c>
      <c r="C34" s="101">
        <v>2011</v>
      </c>
      <c r="D34" s="119">
        <v>40804</v>
      </c>
      <c r="E34" s="116" t="s">
        <v>270</v>
      </c>
      <c r="F34" s="116" t="s">
        <v>254</v>
      </c>
      <c r="G34" s="97">
        <v>2</v>
      </c>
      <c r="H34" s="97">
        <v>3</v>
      </c>
      <c r="I34" s="120">
        <v>-1</v>
      </c>
      <c r="J34" s="97">
        <v>5</v>
      </c>
      <c r="K34" s="97">
        <v>7</v>
      </c>
      <c r="L34" s="97">
        <v>1</v>
      </c>
      <c r="O34" s="97">
        <v>1</v>
      </c>
      <c r="X34" s="99"/>
      <c r="Y34" s="99"/>
      <c r="Z34" s="99"/>
      <c r="AE34" s="116" t="s">
        <v>273</v>
      </c>
      <c r="AF34" s="121">
        <f>COUNTIF(E:F,Tabell32[[#This Row],[MOTSTÅNDARE]])</f>
        <v>3</v>
      </c>
      <c r="AG34" s="121">
        <f>Tabell32[[#This Row],[MS]]+Tabell32[[#This Row],[MS2]]</f>
        <v>14</v>
      </c>
      <c r="AH34" s="121">
        <f>SUMIF(E:E,Tabell32[[#This Row],[MOTSTÅNDARE]],I:I)</f>
        <v>13</v>
      </c>
      <c r="AI34" s="121">
        <f>SUMIF(F:F,Tabell32[[#This Row],[MOTSTÅNDARE]],I:I)</f>
        <v>1</v>
      </c>
      <c r="AJ34" s="124">
        <f>Tabell32[[#This Row],[MS ÅHUS IF]]/Tabell32[[#This Row],[ÅHUS MATCHER]]</f>
        <v>4.666666666666667</v>
      </c>
      <c r="AK34" s="121">
        <f>(Tabell32[[#This Row],[VINST]]*3)+Tabell32[[#This Row],[OAVGJORT]]</f>
        <v>9</v>
      </c>
      <c r="AL34" s="124">
        <f>Tabell32[[#This Row],[POÄNG]]/Tabell32[[#This Row],[ÅHUS MATCHER]]</f>
        <v>3</v>
      </c>
      <c r="AM34" s="121">
        <f>IFERROR(Tabell32[[#This Row],[V H]]+Tabell32[[#This Row],[V B]],"0")</f>
        <v>3</v>
      </c>
      <c r="AN34" s="121">
        <f>IFERROR(Tabell32[[#This Row],[O H]]+Tabell32[[#This Row],[O B]],"0")</f>
        <v>0</v>
      </c>
      <c r="AO34" s="121">
        <f>IFERROR(Tabell32[[#This Row],[F H]]+Tabell32[[#This Row],[F B]],"0")</f>
        <v>0</v>
      </c>
      <c r="AP34" s="121">
        <f>SUMIF(MATCHHISTORIK[BORTALAG],Tabell32[[#This Row],[MOTSTÅNDARE]],MATCHHISTORIK[V])</f>
        <v>1</v>
      </c>
      <c r="AQ34" s="121">
        <f>SUMIF(MATCHHISTORIK[BORTALAG],Tabell32[[#This Row],[MOTSTÅNDARE]],MATCHHISTORIK[O])</f>
        <v>0</v>
      </c>
      <c r="AR34" s="97">
        <f>SUMIF(MATCHHISTORIK[BORTALAG],Tabell32[[#This Row],[MOTSTÅNDARE]],MATCHHISTORIK[F])</f>
        <v>0</v>
      </c>
      <c r="AS34" s="97">
        <f>SUMIF(MATCHHISTORIK[HEMMALAG],Tabell32[[#This Row],[MOTSTÅNDARE]],MATCHHISTORIK[V])</f>
        <v>2</v>
      </c>
      <c r="AT34" s="97">
        <f>SUMIF(MATCHHISTORIK[HEMMALAG],Tabell32[[#This Row],[MOTSTÅNDARE]],MATCHHISTORIK[O])</f>
        <v>0</v>
      </c>
      <c r="AU34" s="97">
        <f>SUMIF(MATCHHISTORIK[HEMMALAG],Tabell32[[#This Row],[MOTSTÅNDARE]],MATCHHISTORIK[F])</f>
        <v>0</v>
      </c>
    </row>
    <row r="35" spans="1:47" x14ac:dyDescent="0.25">
      <c r="A35" s="97">
        <v>21</v>
      </c>
      <c r="B35" s="97">
        <v>3</v>
      </c>
      <c r="C35" s="101">
        <v>2011</v>
      </c>
      <c r="D35" s="119">
        <v>40811</v>
      </c>
      <c r="E35" s="116" t="s">
        <v>254</v>
      </c>
      <c r="F35" s="116" t="s">
        <v>272</v>
      </c>
      <c r="G35" s="97">
        <v>1</v>
      </c>
      <c r="H35" s="97">
        <v>3</v>
      </c>
      <c r="I35" s="120">
        <v>-2</v>
      </c>
      <c r="J35" s="97">
        <v>4</v>
      </c>
      <c r="L35" s="97">
        <v>1</v>
      </c>
      <c r="O35" s="97">
        <v>1</v>
      </c>
      <c r="AE35" s="116" t="s">
        <v>282</v>
      </c>
      <c r="AF35" s="121">
        <f>COUNTIF(E:F,Tabell32[[#This Row],[MOTSTÅNDARE]])</f>
        <v>3</v>
      </c>
      <c r="AG35" s="121">
        <f>Tabell32[[#This Row],[MS]]+Tabell32[[#This Row],[MS2]]</f>
        <v>11</v>
      </c>
      <c r="AH35" s="121">
        <f>SUMIF(E:E,Tabell32[[#This Row],[MOTSTÅNDARE]],I:I)</f>
        <v>2</v>
      </c>
      <c r="AI35" s="121">
        <f>SUMIF(F:F,Tabell32[[#This Row],[MOTSTÅNDARE]],I:I)</f>
        <v>9</v>
      </c>
      <c r="AJ35" s="124">
        <f>Tabell32[[#This Row],[MS ÅHUS IF]]/Tabell32[[#This Row],[ÅHUS MATCHER]]</f>
        <v>3.6666666666666665</v>
      </c>
      <c r="AK35" s="121">
        <f>(Tabell32[[#This Row],[VINST]]*3)+Tabell32[[#This Row],[OAVGJORT]]</f>
        <v>9</v>
      </c>
      <c r="AL35" s="124">
        <f>Tabell32[[#This Row],[POÄNG]]/Tabell32[[#This Row],[ÅHUS MATCHER]]</f>
        <v>3</v>
      </c>
      <c r="AM35" s="121">
        <f>IFERROR(Tabell32[[#This Row],[V H]]+Tabell32[[#This Row],[V B]],"0")</f>
        <v>3</v>
      </c>
      <c r="AN35" s="121">
        <f>IFERROR(Tabell32[[#This Row],[O H]]+Tabell32[[#This Row],[O B]],"0")</f>
        <v>0</v>
      </c>
      <c r="AO35" s="121">
        <f>IFERROR(Tabell32[[#This Row],[F H]]+Tabell32[[#This Row],[F B]],"0")</f>
        <v>0</v>
      </c>
      <c r="AP35" s="121">
        <f>SUMIF(MATCHHISTORIK[BORTALAG],Tabell32[[#This Row],[MOTSTÅNDARE]],MATCHHISTORIK[V])</f>
        <v>2</v>
      </c>
      <c r="AQ35" s="121">
        <f>SUMIF(MATCHHISTORIK[BORTALAG],Tabell32[[#This Row],[MOTSTÅNDARE]],MATCHHISTORIK[O])</f>
        <v>0</v>
      </c>
      <c r="AR35" s="97">
        <f>SUMIF(MATCHHISTORIK[BORTALAG],Tabell32[[#This Row],[MOTSTÅNDARE]],MATCHHISTORIK[F])</f>
        <v>0</v>
      </c>
      <c r="AS35" s="97">
        <f>SUMIF(MATCHHISTORIK[HEMMALAG],Tabell32[[#This Row],[MOTSTÅNDARE]],MATCHHISTORIK[V])</f>
        <v>1</v>
      </c>
      <c r="AT35" s="97">
        <f>SUMIF(MATCHHISTORIK[HEMMALAG],Tabell32[[#This Row],[MOTSTÅNDARE]],MATCHHISTORIK[O])</f>
        <v>0</v>
      </c>
      <c r="AU35" s="97">
        <f>SUMIF(MATCHHISTORIK[HEMMALAG],Tabell32[[#This Row],[MOTSTÅNDARE]],MATCHHISTORIK[F])</f>
        <v>0</v>
      </c>
    </row>
    <row r="36" spans="1:47" x14ac:dyDescent="0.25">
      <c r="A36" s="97">
        <v>22</v>
      </c>
      <c r="B36" s="97">
        <v>3</v>
      </c>
      <c r="C36" s="101">
        <v>2011</v>
      </c>
      <c r="D36" s="119">
        <v>40818</v>
      </c>
      <c r="E36" s="116" t="s">
        <v>274</v>
      </c>
      <c r="F36" s="116" t="s">
        <v>254</v>
      </c>
      <c r="G36" s="97">
        <v>3</v>
      </c>
      <c r="H36" s="97">
        <v>0</v>
      </c>
      <c r="I36" s="120">
        <v>-3</v>
      </c>
      <c r="J36" s="97">
        <v>3</v>
      </c>
      <c r="L36" s="97"/>
      <c r="O36" s="97">
        <v>1</v>
      </c>
      <c r="AE36" s="116" t="s">
        <v>283</v>
      </c>
      <c r="AF36" s="121">
        <f>COUNTIF(E:F,Tabell32[[#This Row],[MOTSTÅNDARE]])</f>
        <v>3</v>
      </c>
      <c r="AG36" s="121">
        <f>Tabell32[[#This Row],[MS]]+Tabell32[[#This Row],[MS2]]</f>
        <v>11</v>
      </c>
      <c r="AH36" s="121">
        <f>SUMIF(E:E,Tabell32[[#This Row],[MOTSTÅNDARE]],I:I)</f>
        <v>2</v>
      </c>
      <c r="AI36" s="121">
        <f>SUMIF(F:F,Tabell32[[#This Row],[MOTSTÅNDARE]],I:I)</f>
        <v>9</v>
      </c>
      <c r="AJ36" s="124">
        <f>Tabell32[[#This Row],[MS ÅHUS IF]]/Tabell32[[#This Row],[ÅHUS MATCHER]]</f>
        <v>3.6666666666666665</v>
      </c>
      <c r="AK36" s="121">
        <f>(Tabell32[[#This Row],[VINST]]*3)+Tabell32[[#This Row],[OAVGJORT]]</f>
        <v>9</v>
      </c>
      <c r="AL36" s="124">
        <f>Tabell32[[#This Row],[POÄNG]]/Tabell32[[#This Row],[ÅHUS MATCHER]]</f>
        <v>3</v>
      </c>
      <c r="AM36" s="121">
        <f>IFERROR(Tabell32[[#This Row],[V H]]+Tabell32[[#This Row],[V B]],"0")</f>
        <v>3</v>
      </c>
      <c r="AN36" s="121">
        <f>IFERROR(Tabell32[[#This Row],[O H]]+Tabell32[[#This Row],[O B]],"0")</f>
        <v>0</v>
      </c>
      <c r="AO36" s="121">
        <f>IFERROR(Tabell32[[#This Row],[F H]]+Tabell32[[#This Row],[F B]],"0")</f>
        <v>0</v>
      </c>
      <c r="AP36" s="121">
        <f>SUMIF(MATCHHISTORIK[BORTALAG],Tabell32[[#This Row],[MOTSTÅNDARE]],MATCHHISTORIK[V])</f>
        <v>2</v>
      </c>
      <c r="AQ36" s="121">
        <f>SUMIF(MATCHHISTORIK[BORTALAG],Tabell32[[#This Row],[MOTSTÅNDARE]],MATCHHISTORIK[O])</f>
        <v>0</v>
      </c>
      <c r="AR36" s="97">
        <f>SUMIF(MATCHHISTORIK[BORTALAG],Tabell32[[#This Row],[MOTSTÅNDARE]],MATCHHISTORIK[F])</f>
        <v>0</v>
      </c>
      <c r="AS36" s="97">
        <f>SUMIF(MATCHHISTORIK[HEMMALAG],Tabell32[[#This Row],[MOTSTÅNDARE]],MATCHHISTORIK[V])</f>
        <v>1</v>
      </c>
      <c r="AT36" s="97">
        <f>SUMIF(MATCHHISTORIK[HEMMALAG],Tabell32[[#This Row],[MOTSTÅNDARE]],MATCHHISTORIK[O])</f>
        <v>0</v>
      </c>
      <c r="AU36" s="97">
        <f>SUMIF(MATCHHISTORIK[HEMMALAG],Tabell32[[#This Row],[MOTSTÅNDARE]],MATCHHISTORIK[F])</f>
        <v>0</v>
      </c>
    </row>
    <row r="37" spans="1:47" x14ac:dyDescent="0.25">
      <c r="A37" s="97">
        <v>1</v>
      </c>
      <c r="B37" s="97">
        <v>4</v>
      </c>
      <c r="C37" s="101">
        <v>2012</v>
      </c>
      <c r="D37" s="119">
        <v>41012</v>
      </c>
      <c r="E37" s="116" t="s">
        <v>287</v>
      </c>
      <c r="F37" s="116" t="s">
        <v>254</v>
      </c>
      <c r="G37" s="97">
        <v>7</v>
      </c>
      <c r="H37" s="97">
        <v>1</v>
      </c>
      <c r="I37" s="120">
        <v>-6</v>
      </c>
      <c r="J37" s="97">
        <v>8</v>
      </c>
      <c r="L37" s="97">
        <v>1</v>
      </c>
      <c r="O37" s="97">
        <v>1</v>
      </c>
      <c r="AE37" s="116" t="s">
        <v>323</v>
      </c>
      <c r="AF37" s="121">
        <f>COUNTIF(E:F,Tabell32[[#This Row],[MOTSTÅNDARE]])</f>
        <v>5</v>
      </c>
      <c r="AG37" s="121">
        <f>Tabell32[[#This Row],[MS]]+Tabell32[[#This Row],[MS2]]</f>
        <v>0</v>
      </c>
      <c r="AH37" s="121">
        <f>SUMIF(E:E,Tabell32[[#This Row],[MOTSTÅNDARE]],I:I)</f>
        <v>1</v>
      </c>
      <c r="AI37" s="121">
        <f>SUMIF(F:F,Tabell32[[#This Row],[MOTSTÅNDARE]],I:I)</f>
        <v>-1</v>
      </c>
      <c r="AJ37" s="124">
        <f>Tabell32[[#This Row],[MS ÅHUS IF]]/Tabell32[[#This Row],[ÅHUS MATCHER]]</f>
        <v>0</v>
      </c>
      <c r="AK37" s="121">
        <f>(Tabell32[[#This Row],[VINST]]*3)+Tabell32[[#This Row],[OAVGJORT]]</f>
        <v>7</v>
      </c>
      <c r="AL37" s="124">
        <f>Tabell32[[#This Row],[POÄNG]]/Tabell32[[#This Row],[ÅHUS MATCHER]]</f>
        <v>1.4</v>
      </c>
      <c r="AM37" s="121">
        <f>IFERROR(Tabell32[[#This Row],[V H]]+Tabell32[[#This Row],[V B]],"0")</f>
        <v>2</v>
      </c>
      <c r="AN37" s="121">
        <f>IFERROR(Tabell32[[#This Row],[O H]]+Tabell32[[#This Row],[O B]],"0")</f>
        <v>1</v>
      </c>
      <c r="AO37" s="121">
        <f>IFERROR(Tabell32[[#This Row],[F H]]+Tabell32[[#This Row],[F B]],"0")</f>
        <v>2</v>
      </c>
      <c r="AP37" s="121">
        <f>SUMIF(MATCHHISTORIK[BORTALAG],Tabell32[[#This Row],[MOTSTÅNDARE]],MATCHHISTORIK[V])</f>
        <v>1</v>
      </c>
      <c r="AQ37" s="121">
        <f>SUMIF(MATCHHISTORIK[BORTALAG],Tabell32[[#This Row],[MOTSTÅNDARE]],MATCHHISTORIK[O])</f>
        <v>1</v>
      </c>
      <c r="AR37" s="97">
        <f>SUMIF(MATCHHISTORIK[BORTALAG],Tabell32[[#This Row],[MOTSTÅNDARE]],MATCHHISTORIK[F])</f>
        <v>1</v>
      </c>
      <c r="AS37" s="97">
        <f>SUMIF(MATCHHISTORIK[HEMMALAG],Tabell32[[#This Row],[MOTSTÅNDARE]],MATCHHISTORIK[V])</f>
        <v>1</v>
      </c>
      <c r="AT37" s="97">
        <f>SUMIF(MATCHHISTORIK[HEMMALAG],Tabell32[[#This Row],[MOTSTÅNDARE]],MATCHHISTORIK[O])</f>
        <v>0</v>
      </c>
      <c r="AU37" s="97">
        <f>SUMIF(MATCHHISTORIK[HEMMALAG],Tabell32[[#This Row],[MOTSTÅNDARE]],MATCHHISTORIK[F])</f>
        <v>1</v>
      </c>
    </row>
    <row r="38" spans="1:47" x14ac:dyDescent="0.25">
      <c r="A38" s="97">
        <v>2</v>
      </c>
      <c r="B38" s="97">
        <v>4</v>
      </c>
      <c r="C38" s="101">
        <v>2012</v>
      </c>
      <c r="D38" s="119">
        <v>41021</v>
      </c>
      <c r="E38" s="116" t="s">
        <v>254</v>
      </c>
      <c r="F38" s="116" t="s">
        <v>289</v>
      </c>
      <c r="G38" s="97">
        <v>1</v>
      </c>
      <c r="H38" s="97">
        <v>2</v>
      </c>
      <c r="I38" s="120">
        <v>-1</v>
      </c>
      <c r="J38" s="97">
        <v>3</v>
      </c>
      <c r="L38" s="97">
        <v>1</v>
      </c>
      <c r="O38" s="97">
        <v>1</v>
      </c>
      <c r="AE38" s="116" t="s">
        <v>266</v>
      </c>
      <c r="AF38" s="121">
        <f>COUNTIF(E:F,Tabell32[[#This Row],[MOTSTÅNDARE]])</f>
        <v>4</v>
      </c>
      <c r="AG38" s="121">
        <f>Tabell32[[#This Row],[MS]]+Tabell32[[#This Row],[MS2]]</f>
        <v>-4</v>
      </c>
      <c r="AH38" s="121">
        <f>SUMIF(E:E,Tabell32[[#This Row],[MOTSTÅNDARE]],I:I)</f>
        <v>0</v>
      </c>
      <c r="AI38" s="121">
        <f>SUMIF(F:F,Tabell32[[#This Row],[MOTSTÅNDARE]],I:I)</f>
        <v>-4</v>
      </c>
      <c r="AJ38" s="124">
        <f>Tabell32[[#This Row],[MS ÅHUS IF]]/Tabell32[[#This Row],[ÅHUS MATCHER]]</f>
        <v>-1</v>
      </c>
      <c r="AK38" s="121">
        <f>(Tabell32[[#This Row],[VINST]]*3)+Tabell32[[#This Row],[OAVGJORT]]</f>
        <v>6</v>
      </c>
      <c r="AL38" s="124">
        <f>Tabell32[[#This Row],[POÄNG]]/Tabell32[[#This Row],[ÅHUS MATCHER]]</f>
        <v>1.5</v>
      </c>
      <c r="AM38" s="121">
        <f>IFERROR(Tabell32[[#This Row],[V H]]+Tabell32[[#This Row],[V B]],"0")</f>
        <v>2</v>
      </c>
      <c r="AN38" s="121">
        <f>IFERROR(Tabell32[[#This Row],[O H]]+Tabell32[[#This Row],[O B]],"0")</f>
        <v>0</v>
      </c>
      <c r="AO38" s="121">
        <f>IFERROR(Tabell32[[#This Row],[F H]]+Tabell32[[#This Row],[F B]],"0")</f>
        <v>2</v>
      </c>
      <c r="AP38" s="121">
        <f>SUMIF(MATCHHISTORIK[BORTALAG],Tabell32[[#This Row],[MOTSTÅNDARE]],MATCHHISTORIK[V])</f>
        <v>1</v>
      </c>
      <c r="AQ38" s="121">
        <f>SUMIF(MATCHHISTORIK[BORTALAG],Tabell32[[#This Row],[MOTSTÅNDARE]],MATCHHISTORIK[O])</f>
        <v>0</v>
      </c>
      <c r="AR38" s="97">
        <f>SUMIF(MATCHHISTORIK[BORTALAG],Tabell32[[#This Row],[MOTSTÅNDARE]],MATCHHISTORIK[F])</f>
        <v>1</v>
      </c>
      <c r="AS38" s="97">
        <f>SUMIF(MATCHHISTORIK[HEMMALAG],Tabell32[[#This Row],[MOTSTÅNDARE]],MATCHHISTORIK[V])</f>
        <v>1</v>
      </c>
      <c r="AT38" s="97">
        <f>SUMIF(MATCHHISTORIK[HEMMALAG],Tabell32[[#This Row],[MOTSTÅNDARE]],MATCHHISTORIK[O])</f>
        <v>0</v>
      </c>
      <c r="AU38" s="97">
        <f>SUMIF(MATCHHISTORIK[HEMMALAG],Tabell32[[#This Row],[MOTSTÅNDARE]],MATCHHISTORIK[F])</f>
        <v>1</v>
      </c>
    </row>
    <row r="39" spans="1:47" x14ac:dyDescent="0.25">
      <c r="A39" s="97">
        <v>3</v>
      </c>
      <c r="B39" s="97">
        <v>4</v>
      </c>
      <c r="C39" s="101">
        <v>2012</v>
      </c>
      <c r="D39" s="119">
        <v>41027</v>
      </c>
      <c r="E39" s="116" t="s">
        <v>291</v>
      </c>
      <c r="F39" s="116" t="s">
        <v>254</v>
      </c>
      <c r="G39" s="97">
        <v>4</v>
      </c>
      <c r="H39" s="97">
        <v>0</v>
      </c>
      <c r="I39" s="120">
        <v>-4</v>
      </c>
      <c r="J39" s="97">
        <v>4</v>
      </c>
      <c r="L39" s="97"/>
      <c r="O39" s="97">
        <v>1</v>
      </c>
      <c r="AE39" s="116" t="s">
        <v>294</v>
      </c>
      <c r="AF39" s="121">
        <f>COUNTIF(E:F,Tabell32[[#This Row],[MOTSTÅNDARE]])</f>
        <v>4</v>
      </c>
      <c r="AG39" s="121">
        <f>Tabell32[[#This Row],[MS]]+Tabell32[[#This Row],[MS2]]</f>
        <v>6</v>
      </c>
      <c r="AH39" s="121">
        <f>SUMIF(E:E,Tabell32[[#This Row],[MOTSTÅNDARE]],I:I)</f>
        <v>-3</v>
      </c>
      <c r="AI39" s="121">
        <f>SUMIF(F:F,Tabell32[[#This Row],[MOTSTÅNDARE]],I:I)</f>
        <v>9</v>
      </c>
      <c r="AJ39" s="124">
        <f>Tabell32[[#This Row],[MS ÅHUS IF]]/Tabell32[[#This Row],[ÅHUS MATCHER]]</f>
        <v>1.5</v>
      </c>
      <c r="AK39" s="121">
        <f>(Tabell32[[#This Row],[VINST]]*3)+Tabell32[[#This Row],[OAVGJORT]]</f>
        <v>6</v>
      </c>
      <c r="AL39" s="124">
        <f>Tabell32[[#This Row],[POÄNG]]/Tabell32[[#This Row],[ÅHUS MATCHER]]</f>
        <v>1.5</v>
      </c>
      <c r="AM39" s="121">
        <f>IFERROR(Tabell32[[#This Row],[V H]]+Tabell32[[#This Row],[V B]],"0")</f>
        <v>2</v>
      </c>
      <c r="AN39" s="121">
        <f>IFERROR(Tabell32[[#This Row],[O H]]+Tabell32[[#This Row],[O B]],"0")</f>
        <v>0</v>
      </c>
      <c r="AO39" s="121">
        <f>IFERROR(Tabell32[[#This Row],[F H]]+Tabell32[[#This Row],[F B]],"0")</f>
        <v>2</v>
      </c>
      <c r="AP39" s="121">
        <f>SUMIF(MATCHHISTORIK[BORTALAG],Tabell32[[#This Row],[MOTSTÅNDARE]],MATCHHISTORIK[V])</f>
        <v>2</v>
      </c>
      <c r="AQ39" s="121">
        <f>SUMIF(MATCHHISTORIK[BORTALAG],Tabell32[[#This Row],[MOTSTÅNDARE]],MATCHHISTORIK[O])</f>
        <v>0</v>
      </c>
      <c r="AR39" s="97">
        <f>SUMIF(MATCHHISTORIK[BORTALAG],Tabell32[[#This Row],[MOTSTÅNDARE]],MATCHHISTORIK[F])</f>
        <v>0</v>
      </c>
      <c r="AS39" s="97">
        <f>SUMIF(MATCHHISTORIK[HEMMALAG],Tabell32[[#This Row],[MOTSTÅNDARE]],MATCHHISTORIK[V])</f>
        <v>0</v>
      </c>
      <c r="AT39" s="97">
        <f>SUMIF(MATCHHISTORIK[HEMMALAG],Tabell32[[#This Row],[MOTSTÅNDARE]],MATCHHISTORIK[O])</f>
        <v>0</v>
      </c>
      <c r="AU39" s="97">
        <f>SUMIF(MATCHHISTORIK[HEMMALAG],Tabell32[[#This Row],[MOTSTÅNDARE]],MATCHHISTORIK[F])</f>
        <v>2</v>
      </c>
    </row>
    <row r="40" spans="1:47" x14ac:dyDescent="0.25">
      <c r="A40" s="97">
        <v>4</v>
      </c>
      <c r="B40" s="97">
        <v>4</v>
      </c>
      <c r="C40" s="101">
        <v>2012</v>
      </c>
      <c r="D40" s="119">
        <v>41035</v>
      </c>
      <c r="E40" s="116" t="s">
        <v>254</v>
      </c>
      <c r="F40" s="116" t="s">
        <v>266</v>
      </c>
      <c r="G40" s="97">
        <v>0</v>
      </c>
      <c r="H40" s="97">
        <v>7</v>
      </c>
      <c r="I40" s="120">
        <v>-7</v>
      </c>
      <c r="J40" s="97">
        <v>7</v>
      </c>
      <c r="L40" s="97"/>
      <c r="O40" s="97">
        <v>1</v>
      </c>
      <c r="AE40" s="116" t="s">
        <v>312</v>
      </c>
      <c r="AF40" s="121">
        <f>COUNTIF(E:F,Tabell32[[#This Row],[MOTSTÅNDARE]])</f>
        <v>4</v>
      </c>
      <c r="AG40" s="121">
        <f>Tabell32[[#This Row],[MS]]+Tabell32[[#This Row],[MS2]]</f>
        <v>2</v>
      </c>
      <c r="AH40" s="121">
        <f>SUMIF(E:E,Tabell32[[#This Row],[MOTSTÅNDARE]],I:I)</f>
        <v>-1</v>
      </c>
      <c r="AI40" s="121">
        <f>SUMIF(F:F,Tabell32[[#This Row],[MOTSTÅNDARE]],I:I)</f>
        <v>3</v>
      </c>
      <c r="AJ40" s="124">
        <f>Tabell32[[#This Row],[MS ÅHUS IF]]/Tabell32[[#This Row],[ÅHUS MATCHER]]</f>
        <v>0.5</v>
      </c>
      <c r="AK40" s="121">
        <f>(Tabell32[[#This Row],[VINST]]*3)+Tabell32[[#This Row],[OAVGJORT]]</f>
        <v>6</v>
      </c>
      <c r="AL40" s="124">
        <f>Tabell32[[#This Row],[POÄNG]]/Tabell32[[#This Row],[ÅHUS MATCHER]]</f>
        <v>1.5</v>
      </c>
      <c r="AM40" s="121">
        <f>IFERROR(Tabell32[[#This Row],[V H]]+Tabell32[[#This Row],[V B]],"0")</f>
        <v>2</v>
      </c>
      <c r="AN40" s="121">
        <f>IFERROR(Tabell32[[#This Row],[O H]]+Tabell32[[#This Row],[O B]],"0")</f>
        <v>0</v>
      </c>
      <c r="AO40" s="121">
        <f>IFERROR(Tabell32[[#This Row],[F H]]+Tabell32[[#This Row],[F B]],"0")</f>
        <v>2</v>
      </c>
      <c r="AP40" s="121">
        <f>SUMIF(MATCHHISTORIK[BORTALAG],Tabell32[[#This Row],[MOTSTÅNDARE]],MATCHHISTORIK[V])</f>
        <v>1</v>
      </c>
      <c r="AQ40" s="121">
        <f>SUMIF(MATCHHISTORIK[BORTALAG],Tabell32[[#This Row],[MOTSTÅNDARE]],MATCHHISTORIK[O])</f>
        <v>0</v>
      </c>
      <c r="AR40" s="97">
        <f>SUMIF(MATCHHISTORIK[BORTALAG],Tabell32[[#This Row],[MOTSTÅNDARE]],MATCHHISTORIK[F])</f>
        <v>1</v>
      </c>
      <c r="AS40" s="97">
        <f>SUMIF(MATCHHISTORIK[HEMMALAG],Tabell32[[#This Row],[MOTSTÅNDARE]],MATCHHISTORIK[V])</f>
        <v>1</v>
      </c>
      <c r="AT40" s="97">
        <f>SUMIF(MATCHHISTORIK[HEMMALAG],Tabell32[[#This Row],[MOTSTÅNDARE]],MATCHHISTORIK[O])</f>
        <v>0</v>
      </c>
      <c r="AU40" s="97">
        <f>SUMIF(MATCHHISTORIK[HEMMALAG],Tabell32[[#This Row],[MOTSTÅNDARE]],MATCHHISTORIK[F])</f>
        <v>1</v>
      </c>
    </row>
    <row r="41" spans="1:47" x14ac:dyDescent="0.25">
      <c r="A41" s="97">
        <v>5</v>
      </c>
      <c r="B41" s="97">
        <v>4</v>
      </c>
      <c r="C41" s="101">
        <v>2012</v>
      </c>
      <c r="D41" s="119">
        <v>41039</v>
      </c>
      <c r="E41" s="116" t="s">
        <v>261</v>
      </c>
      <c r="F41" s="116" t="s">
        <v>254</v>
      </c>
      <c r="G41" s="97">
        <v>4</v>
      </c>
      <c r="H41" s="97">
        <v>0</v>
      </c>
      <c r="I41" s="120">
        <v>-4</v>
      </c>
      <c r="J41" s="97">
        <v>4</v>
      </c>
      <c r="L41" s="97"/>
      <c r="O41" s="97">
        <v>1</v>
      </c>
      <c r="AE41" s="116" t="s">
        <v>350</v>
      </c>
      <c r="AF41" s="121">
        <f>COUNTIF(E:F,Tabell32[[#This Row],[MOTSTÅNDARE]])</f>
        <v>3</v>
      </c>
      <c r="AG41" s="121">
        <f>Tabell32[[#This Row],[MS]]+Tabell32[[#This Row],[MS2]]</f>
        <v>10</v>
      </c>
      <c r="AH41" s="121">
        <f>SUMIF(E:E,Tabell32[[#This Row],[MOTSTÅNDARE]],I:I)</f>
        <v>2</v>
      </c>
      <c r="AI41" s="121">
        <f>SUMIF(F:F,Tabell32[[#This Row],[MOTSTÅNDARE]],I:I)</f>
        <v>8</v>
      </c>
      <c r="AJ41" s="124">
        <f>Tabell32[[#This Row],[MS ÅHUS IF]]/Tabell32[[#This Row],[ÅHUS MATCHER]]</f>
        <v>3.3333333333333335</v>
      </c>
      <c r="AK41" s="121">
        <f>(Tabell32[[#This Row],[VINST]]*3)+Tabell32[[#This Row],[OAVGJORT]]</f>
        <v>6</v>
      </c>
      <c r="AL41" s="124">
        <f>Tabell32[[#This Row],[POÄNG]]/Tabell32[[#This Row],[ÅHUS MATCHER]]</f>
        <v>2</v>
      </c>
      <c r="AM41" s="121">
        <f>IFERROR(Tabell32[[#This Row],[V H]]+Tabell32[[#This Row],[V B]],"0")</f>
        <v>2</v>
      </c>
      <c r="AN41" s="121">
        <f>IFERROR(Tabell32[[#This Row],[O H]]+Tabell32[[#This Row],[O B]],"0")</f>
        <v>0</v>
      </c>
      <c r="AO41" s="121">
        <f>IFERROR(Tabell32[[#This Row],[F H]]+Tabell32[[#This Row],[F B]],"0")</f>
        <v>0</v>
      </c>
      <c r="AP41" s="121">
        <f>SUMIF(MATCHHISTORIK[BORTALAG],Tabell32[[#This Row],[MOTSTÅNDARE]],MATCHHISTORIK[V])</f>
        <v>1</v>
      </c>
      <c r="AQ41" s="121">
        <f>SUMIF(MATCHHISTORIK[BORTALAG],Tabell32[[#This Row],[MOTSTÅNDARE]],MATCHHISTORIK[O])</f>
        <v>0</v>
      </c>
      <c r="AR41" s="97">
        <f>SUMIF(MATCHHISTORIK[BORTALAG],Tabell32[[#This Row],[MOTSTÅNDARE]],MATCHHISTORIK[F])</f>
        <v>0</v>
      </c>
      <c r="AS41" s="97">
        <f>SUMIF(MATCHHISTORIK[HEMMALAG],Tabell32[[#This Row],[MOTSTÅNDARE]],MATCHHISTORIK[V])</f>
        <v>1</v>
      </c>
      <c r="AT41" s="97">
        <f>SUMIF(MATCHHISTORIK[HEMMALAG],Tabell32[[#This Row],[MOTSTÅNDARE]],MATCHHISTORIK[O])</f>
        <v>0</v>
      </c>
      <c r="AU41" s="97">
        <f>SUMIF(MATCHHISTORIK[HEMMALAG],Tabell32[[#This Row],[MOTSTÅNDARE]],MATCHHISTORIK[F])</f>
        <v>0</v>
      </c>
    </row>
    <row r="42" spans="1:47" x14ac:dyDescent="0.25">
      <c r="A42" s="97">
        <v>6</v>
      </c>
      <c r="B42" s="97">
        <v>4</v>
      </c>
      <c r="C42" s="101">
        <v>2012</v>
      </c>
      <c r="D42" s="119">
        <v>41050</v>
      </c>
      <c r="E42" s="116" t="s">
        <v>295</v>
      </c>
      <c r="F42" s="116" t="s">
        <v>254</v>
      </c>
      <c r="G42" s="97">
        <v>2</v>
      </c>
      <c r="H42" s="97">
        <v>1</v>
      </c>
      <c r="I42" s="120">
        <v>-1</v>
      </c>
      <c r="J42" s="97">
        <v>3</v>
      </c>
      <c r="L42" s="97">
        <v>1</v>
      </c>
      <c r="O42" s="97">
        <v>1</v>
      </c>
      <c r="AE42" s="116" t="s">
        <v>300</v>
      </c>
      <c r="AF42" s="121">
        <f>COUNTIF(E:F,Tabell32[[#This Row],[MOTSTÅNDARE]])</f>
        <v>3</v>
      </c>
      <c r="AG42" s="121">
        <f>Tabell32[[#This Row],[MS]]+Tabell32[[#This Row],[MS2]]</f>
        <v>5</v>
      </c>
      <c r="AH42" s="121">
        <f>SUMIF(E:E,Tabell32[[#This Row],[MOTSTÅNDARE]],I:I)</f>
        <v>6</v>
      </c>
      <c r="AI42" s="121">
        <f>SUMIF(F:F,Tabell32[[#This Row],[MOTSTÅNDARE]],I:I)</f>
        <v>-1</v>
      </c>
      <c r="AJ42" s="124">
        <f>Tabell32[[#This Row],[MS ÅHUS IF]]/Tabell32[[#This Row],[ÅHUS MATCHER]]</f>
        <v>1.6666666666666667</v>
      </c>
      <c r="AK42" s="121">
        <f>(Tabell32[[#This Row],[VINST]]*3)+Tabell32[[#This Row],[OAVGJORT]]</f>
        <v>6</v>
      </c>
      <c r="AL42" s="124">
        <f>Tabell32[[#This Row],[POÄNG]]/Tabell32[[#This Row],[ÅHUS MATCHER]]</f>
        <v>2</v>
      </c>
      <c r="AM42" s="121">
        <f>IFERROR(Tabell32[[#This Row],[V H]]+Tabell32[[#This Row],[V B]],"0")</f>
        <v>2</v>
      </c>
      <c r="AN42" s="121">
        <f>IFERROR(Tabell32[[#This Row],[O H]]+Tabell32[[#This Row],[O B]],"0")</f>
        <v>0</v>
      </c>
      <c r="AO42" s="121">
        <f>IFERROR(Tabell32[[#This Row],[F H]]+Tabell32[[#This Row],[F B]],"0")</f>
        <v>1</v>
      </c>
      <c r="AP42" s="121">
        <f>SUMIF(MATCHHISTORIK[BORTALAG],Tabell32[[#This Row],[MOTSTÅNDARE]],MATCHHISTORIK[V])</f>
        <v>1</v>
      </c>
      <c r="AQ42" s="121">
        <f>SUMIF(MATCHHISTORIK[BORTALAG],Tabell32[[#This Row],[MOTSTÅNDARE]],MATCHHISTORIK[O])</f>
        <v>0</v>
      </c>
      <c r="AR42" s="97">
        <f>SUMIF(MATCHHISTORIK[BORTALAG],Tabell32[[#This Row],[MOTSTÅNDARE]],MATCHHISTORIK[F])</f>
        <v>1</v>
      </c>
      <c r="AS42" s="97">
        <f>SUMIF(MATCHHISTORIK[HEMMALAG],Tabell32[[#This Row],[MOTSTÅNDARE]],MATCHHISTORIK[V])</f>
        <v>1</v>
      </c>
      <c r="AT42" s="97">
        <f>SUMIF(MATCHHISTORIK[HEMMALAG],Tabell32[[#This Row],[MOTSTÅNDARE]],MATCHHISTORIK[O])</f>
        <v>0</v>
      </c>
      <c r="AU42" s="97">
        <f>SUMIF(MATCHHISTORIK[HEMMALAG],Tabell32[[#This Row],[MOTSTÅNDARE]],MATCHHISTORIK[F])</f>
        <v>0</v>
      </c>
    </row>
    <row r="43" spans="1:47" x14ac:dyDescent="0.25">
      <c r="A43" s="97">
        <v>7</v>
      </c>
      <c r="B43" s="97">
        <v>4</v>
      </c>
      <c r="C43" s="101">
        <v>2012</v>
      </c>
      <c r="D43" s="119">
        <v>41056</v>
      </c>
      <c r="E43" s="116" t="s">
        <v>297</v>
      </c>
      <c r="F43" s="116" t="s">
        <v>254</v>
      </c>
      <c r="G43" s="97">
        <v>4</v>
      </c>
      <c r="H43" s="97">
        <v>0</v>
      </c>
      <c r="I43" s="120">
        <v>-4</v>
      </c>
      <c r="J43" s="97">
        <v>4</v>
      </c>
      <c r="L43" s="97"/>
      <c r="O43" s="97">
        <v>1</v>
      </c>
      <c r="AE43" s="116" t="s">
        <v>311</v>
      </c>
      <c r="AF43" s="121">
        <f>COUNTIF(E:F,Tabell32[[#This Row],[MOTSTÅNDARE]])</f>
        <v>3</v>
      </c>
      <c r="AG43" s="121">
        <f>Tabell32[[#This Row],[MS]]+Tabell32[[#This Row],[MS2]]</f>
        <v>2</v>
      </c>
      <c r="AH43" s="121">
        <f>SUMIF(E:E,Tabell32[[#This Row],[MOTSTÅNDARE]],I:I)</f>
        <v>2</v>
      </c>
      <c r="AI43" s="121">
        <f>SUMIF(F:F,Tabell32[[#This Row],[MOTSTÅNDARE]],I:I)</f>
        <v>0</v>
      </c>
      <c r="AJ43" s="124">
        <f>Tabell32[[#This Row],[MS ÅHUS IF]]/Tabell32[[#This Row],[ÅHUS MATCHER]]</f>
        <v>0.66666666666666663</v>
      </c>
      <c r="AK43" s="121">
        <f>(Tabell32[[#This Row],[VINST]]*3)+Tabell32[[#This Row],[OAVGJORT]]</f>
        <v>6</v>
      </c>
      <c r="AL43" s="124">
        <f>Tabell32[[#This Row],[POÄNG]]/Tabell32[[#This Row],[ÅHUS MATCHER]]</f>
        <v>2</v>
      </c>
      <c r="AM43" s="121">
        <f>IFERROR(Tabell32[[#This Row],[V H]]+Tabell32[[#This Row],[V B]],"0")</f>
        <v>2</v>
      </c>
      <c r="AN43" s="121">
        <f>IFERROR(Tabell32[[#This Row],[O H]]+Tabell32[[#This Row],[O B]],"0")</f>
        <v>0</v>
      </c>
      <c r="AO43" s="121">
        <f>IFERROR(Tabell32[[#This Row],[F H]]+Tabell32[[#This Row],[F B]],"0")</f>
        <v>1</v>
      </c>
      <c r="AP43" s="121">
        <f>SUMIF(MATCHHISTORIK[BORTALAG],Tabell32[[#This Row],[MOTSTÅNDARE]],MATCHHISTORIK[V])</f>
        <v>1</v>
      </c>
      <c r="AQ43" s="121">
        <f>SUMIF(MATCHHISTORIK[BORTALAG],Tabell32[[#This Row],[MOTSTÅNDARE]],MATCHHISTORIK[O])</f>
        <v>0</v>
      </c>
      <c r="AR43" s="97">
        <f>SUMIF(MATCHHISTORIK[BORTALAG],Tabell32[[#This Row],[MOTSTÅNDARE]],MATCHHISTORIK[F])</f>
        <v>1</v>
      </c>
      <c r="AS43" s="97">
        <f>SUMIF(MATCHHISTORIK[HEMMALAG],Tabell32[[#This Row],[MOTSTÅNDARE]],MATCHHISTORIK[V])</f>
        <v>1</v>
      </c>
      <c r="AT43" s="97">
        <f>SUMIF(MATCHHISTORIK[HEMMALAG],Tabell32[[#This Row],[MOTSTÅNDARE]],MATCHHISTORIK[O])</f>
        <v>0</v>
      </c>
      <c r="AU43" s="97">
        <f>SUMIF(MATCHHISTORIK[HEMMALAG],Tabell32[[#This Row],[MOTSTÅNDARE]],MATCHHISTORIK[F])</f>
        <v>0</v>
      </c>
    </row>
    <row r="44" spans="1:47" x14ac:dyDescent="0.25">
      <c r="A44" s="97">
        <v>8</v>
      </c>
      <c r="B44" s="97">
        <v>4</v>
      </c>
      <c r="C44" s="101">
        <v>2012</v>
      </c>
      <c r="D44" s="119">
        <v>41062</v>
      </c>
      <c r="E44" s="116" t="s">
        <v>299</v>
      </c>
      <c r="F44" s="116" t="s">
        <v>254</v>
      </c>
      <c r="G44" s="97">
        <v>6</v>
      </c>
      <c r="H44" s="97">
        <v>1</v>
      </c>
      <c r="I44" s="120">
        <v>-5</v>
      </c>
      <c r="J44" s="97">
        <v>7</v>
      </c>
      <c r="L44" s="97">
        <v>1</v>
      </c>
      <c r="O44" s="97">
        <v>1</v>
      </c>
      <c r="AE44" s="116" t="s">
        <v>259</v>
      </c>
      <c r="AF44" s="121">
        <f>COUNTIF(E:F,Tabell32[[#This Row],[MOTSTÅNDARE]])</f>
        <v>2</v>
      </c>
      <c r="AG44" s="121">
        <f>Tabell32[[#This Row],[MS]]+Tabell32[[#This Row],[MS2]]</f>
        <v>21</v>
      </c>
      <c r="AH44" s="121">
        <f>SUMIF(E:E,Tabell32[[#This Row],[MOTSTÅNDARE]],I:I)</f>
        <v>11</v>
      </c>
      <c r="AI44" s="121">
        <f>SUMIF(F:F,Tabell32[[#This Row],[MOTSTÅNDARE]],I:I)</f>
        <v>10</v>
      </c>
      <c r="AJ44" s="124">
        <f>Tabell32[[#This Row],[MS ÅHUS IF]]/Tabell32[[#This Row],[ÅHUS MATCHER]]</f>
        <v>10.5</v>
      </c>
      <c r="AK44" s="121">
        <f>(Tabell32[[#This Row],[VINST]]*3)+Tabell32[[#This Row],[OAVGJORT]]</f>
        <v>6</v>
      </c>
      <c r="AL44" s="124">
        <f>Tabell32[[#This Row],[POÄNG]]/Tabell32[[#This Row],[ÅHUS MATCHER]]</f>
        <v>3</v>
      </c>
      <c r="AM44" s="121">
        <f>IFERROR(Tabell32[[#This Row],[V H]]+Tabell32[[#This Row],[V B]],"0")</f>
        <v>2</v>
      </c>
      <c r="AN44" s="121">
        <f>IFERROR(Tabell32[[#This Row],[O H]]+Tabell32[[#This Row],[O B]],"0")</f>
        <v>0</v>
      </c>
      <c r="AO44" s="121">
        <f>IFERROR(Tabell32[[#This Row],[F H]]+Tabell32[[#This Row],[F B]],"0")</f>
        <v>0</v>
      </c>
      <c r="AP44" s="121">
        <f>SUMIF(MATCHHISTORIK[BORTALAG],Tabell32[[#This Row],[MOTSTÅNDARE]],MATCHHISTORIK[V])</f>
        <v>1</v>
      </c>
      <c r="AQ44" s="121">
        <f>SUMIF(MATCHHISTORIK[BORTALAG],Tabell32[[#This Row],[MOTSTÅNDARE]],MATCHHISTORIK[O])</f>
        <v>0</v>
      </c>
      <c r="AR44" s="97">
        <f>SUMIF(MATCHHISTORIK[BORTALAG],Tabell32[[#This Row],[MOTSTÅNDARE]],MATCHHISTORIK[F])</f>
        <v>0</v>
      </c>
      <c r="AS44" s="97">
        <f>SUMIF(MATCHHISTORIK[HEMMALAG],Tabell32[[#This Row],[MOTSTÅNDARE]],MATCHHISTORIK[V])</f>
        <v>1</v>
      </c>
      <c r="AT44" s="97">
        <f>SUMIF(MATCHHISTORIK[HEMMALAG],Tabell32[[#This Row],[MOTSTÅNDARE]],MATCHHISTORIK[O])</f>
        <v>0</v>
      </c>
      <c r="AU44" s="97">
        <f>SUMIF(MATCHHISTORIK[HEMMALAG],Tabell32[[#This Row],[MOTSTÅNDARE]],MATCHHISTORIK[F])</f>
        <v>0</v>
      </c>
    </row>
    <row r="45" spans="1:47" x14ac:dyDescent="0.25">
      <c r="A45" s="97">
        <v>9</v>
      </c>
      <c r="B45" s="97">
        <v>4</v>
      </c>
      <c r="C45" s="101">
        <v>2012</v>
      </c>
      <c r="D45" s="119">
        <v>41066</v>
      </c>
      <c r="E45" s="116" t="s">
        <v>254</v>
      </c>
      <c r="F45" s="116" t="s">
        <v>301</v>
      </c>
      <c r="G45" s="97">
        <v>0</v>
      </c>
      <c r="H45" s="97">
        <v>0</v>
      </c>
      <c r="I45" s="120">
        <v>0</v>
      </c>
      <c r="J45" s="97">
        <v>0</v>
      </c>
      <c r="K45" s="97">
        <v>1</v>
      </c>
      <c r="L45" s="97"/>
      <c r="N45" s="97">
        <v>1</v>
      </c>
      <c r="AE45" s="116" t="s">
        <v>265</v>
      </c>
      <c r="AF45" s="121">
        <f>COUNTIF(E:F,Tabell32[[#This Row],[MOTSTÅNDARE]])</f>
        <v>2</v>
      </c>
      <c r="AG45" s="121">
        <f>Tabell32[[#This Row],[MS]]+Tabell32[[#This Row],[MS2]]</f>
        <v>15</v>
      </c>
      <c r="AH45" s="121">
        <f>SUMIF(E:E,Tabell32[[#This Row],[MOTSTÅNDARE]],I:I)</f>
        <v>7</v>
      </c>
      <c r="AI45" s="121">
        <f>SUMIF(F:F,Tabell32[[#This Row],[MOTSTÅNDARE]],I:I)</f>
        <v>8</v>
      </c>
      <c r="AJ45" s="124">
        <f>Tabell32[[#This Row],[MS ÅHUS IF]]/Tabell32[[#This Row],[ÅHUS MATCHER]]</f>
        <v>7.5</v>
      </c>
      <c r="AK45" s="121">
        <f>(Tabell32[[#This Row],[VINST]]*3)+Tabell32[[#This Row],[OAVGJORT]]</f>
        <v>6</v>
      </c>
      <c r="AL45" s="124">
        <f>Tabell32[[#This Row],[POÄNG]]/Tabell32[[#This Row],[ÅHUS MATCHER]]</f>
        <v>3</v>
      </c>
      <c r="AM45" s="121">
        <f>IFERROR(Tabell32[[#This Row],[V H]]+Tabell32[[#This Row],[V B]],"0")</f>
        <v>2</v>
      </c>
      <c r="AN45" s="121">
        <f>IFERROR(Tabell32[[#This Row],[O H]]+Tabell32[[#This Row],[O B]],"0")</f>
        <v>0</v>
      </c>
      <c r="AO45" s="121">
        <f>IFERROR(Tabell32[[#This Row],[F H]]+Tabell32[[#This Row],[F B]],"0")</f>
        <v>0</v>
      </c>
      <c r="AP45" s="121">
        <f>SUMIF(MATCHHISTORIK[BORTALAG],Tabell32[[#This Row],[MOTSTÅNDARE]],MATCHHISTORIK[V])</f>
        <v>1</v>
      </c>
      <c r="AQ45" s="121">
        <f>SUMIF(MATCHHISTORIK[BORTALAG],Tabell32[[#This Row],[MOTSTÅNDARE]],MATCHHISTORIK[O])</f>
        <v>0</v>
      </c>
      <c r="AR45" s="97">
        <f>SUMIF(MATCHHISTORIK[BORTALAG],Tabell32[[#This Row],[MOTSTÅNDARE]],MATCHHISTORIK[F])</f>
        <v>0</v>
      </c>
      <c r="AS45" s="97">
        <f>SUMIF(MATCHHISTORIK[HEMMALAG],Tabell32[[#This Row],[MOTSTÅNDARE]],MATCHHISTORIK[V])</f>
        <v>1</v>
      </c>
      <c r="AT45" s="97">
        <f>SUMIF(MATCHHISTORIK[HEMMALAG],Tabell32[[#This Row],[MOTSTÅNDARE]],MATCHHISTORIK[O])</f>
        <v>0</v>
      </c>
      <c r="AU45" s="97">
        <f>SUMIF(MATCHHISTORIK[HEMMALAG],Tabell32[[#This Row],[MOTSTÅNDARE]],MATCHHISTORIK[F])</f>
        <v>0</v>
      </c>
    </row>
    <row r="46" spans="1:47" x14ac:dyDescent="0.25">
      <c r="A46" s="97">
        <v>10</v>
      </c>
      <c r="B46" s="97">
        <v>4</v>
      </c>
      <c r="C46" s="101">
        <v>2012</v>
      </c>
      <c r="D46" s="119">
        <v>41077</v>
      </c>
      <c r="E46" s="116" t="s">
        <v>254</v>
      </c>
      <c r="F46" s="116" t="s">
        <v>287</v>
      </c>
      <c r="G46" s="97">
        <v>1</v>
      </c>
      <c r="H46" s="97">
        <v>2</v>
      </c>
      <c r="I46" s="120">
        <v>-1</v>
      </c>
      <c r="J46" s="97">
        <v>3</v>
      </c>
      <c r="L46" s="97">
        <v>1</v>
      </c>
      <c r="O46" s="97">
        <v>1</v>
      </c>
      <c r="AE46" s="116" t="s">
        <v>276</v>
      </c>
      <c r="AF46" s="121">
        <f>COUNTIF(E:F,Tabell32[[#This Row],[MOTSTÅNDARE]])</f>
        <v>2</v>
      </c>
      <c r="AG46" s="121">
        <f>Tabell32[[#This Row],[MS]]+Tabell32[[#This Row],[MS2]]</f>
        <v>13</v>
      </c>
      <c r="AH46" s="121">
        <f>SUMIF(E:E,Tabell32[[#This Row],[MOTSTÅNDARE]],I:I)</f>
        <v>3</v>
      </c>
      <c r="AI46" s="121">
        <f>SUMIF(F:F,Tabell32[[#This Row],[MOTSTÅNDARE]],I:I)</f>
        <v>10</v>
      </c>
      <c r="AJ46" s="124">
        <f>Tabell32[[#This Row],[MS ÅHUS IF]]/Tabell32[[#This Row],[ÅHUS MATCHER]]</f>
        <v>6.5</v>
      </c>
      <c r="AK46" s="121">
        <f>(Tabell32[[#This Row],[VINST]]*3)+Tabell32[[#This Row],[OAVGJORT]]</f>
        <v>6</v>
      </c>
      <c r="AL46" s="124">
        <f>Tabell32[[#This Row],[POÄNG]]/Tabell32[[#This Row],[ÅHUS MATCHER]]</f>
        <v>3</v>
      </c>
      <c r="AM46" s="121">
        <f>IFERROR(Tabell32[[#This Row],[V H]]+Tabell32[[#This Row],[V B]],"0")</f>
        <v>2</v>
      </c>
      <c r="AN46" s="121">
        <f>IFERROR(Tabell32[[#This Row],[O H]]+Tabell32[[#This Row],[O B]],"0")</f>
        <v>0</v>
      </c>
      <c r="AO46" s="121">
        <f>IFERROR(Tabell32[[#This Row],[F H]]+Tabell32[[#This Row],[F B]],"0")</f>
        <v>0</v>
      </c>
      <c r="AP46" s="121">
        <f>SUMIF(MATCHHISTORIK[BORTALAG],Tabell32[[#This Row],[MOTSTÅNDARE]],MATCHHISTORIK[V])</f>
        <v>1</v>
      </c>
      <c r="AQ46" s="121">
        <f>SUMIF(MATCHHISTORIK[BORTALAG],Tabell32[[#This Row],[MOTSTÅNDARE]],MATCHHISTORIK[O])</f>
        <v>0</v>
      </c>
      <c r="AR46" s="97">
        <f>SUMIF(MATCHHISTORIK[BORTALAG],Tabell32[[#This Row],[MOTSTÅNDARE]],MATCHHISTORIK[F])</f>
        <v>0</v>
      </c>
      <c r="AS46" s="97">
        <f>SUMIF(MATCHHISTORIK[HEMMALAG],Tabell32[[#This Row],[MOTSTÅNDARE]],MATCHHISTORIK[V])</f>
        <v>1</v>
      </c>
      <c r="AT46" s="97">
        <f>SUMIF(MATCHHISTORIK[HEMMALAG],Tabell32[[#This Row],[MOTSTÅNDARE]],MATCHHISTORIK[O])</f>
        <v>0</v>
      </c>
      <c r="AU46" s="97">
        <f>SUMIF(MATCHHISTORIK[HEMMALAG],Tabell32[[#This Row],[MOTSTÅNDARE]],MATCHHISTORIK[F])</f>
        <v>0</v>
      </c>
    </row>
    <row r="47" spans="1:47" x14ac:dyDescent="0.25">
      <c r="A47" s="97">
        <v>11</v>
      </c>
      <c r="B47" s="97">
        <v>4</v>
      </c>
      <c r="C47" s="101">
        <v>2012</v>
      </c>
      <c r="D47" s="119">
        <v>41132</v>
      </c>
      <c r="E47" s="116" t="s">
        <v>289</v>
      </c>
      <c r="F47" s="116" t="s">
        <v>254</v>
      </c>
      <c r="G47" s="97">
        <v>4</v>
      </c>
      <c r="H47" s="97">
        <v>1</v>
      </c>
      <c r="I47" s="120">
        <v>-3</v>
      </c>
      <c r="J47" s="97">
        <v>5</v>
      </c>
      <c r="L47" s="97">
        <v>1</v>
      </c>
      <c r="O47" s="97">
        <v>1</v>
      </c>
      <c r="AE47" s="116" t="s">
        <v>277</v>
      </c>
      <c r="AF47" s="121">
        <f>COUNTIF(E:F,Tabell32[[#This Row],[MOTSTÅNDARE]])</f>
        <v>2</v>
      </c>
      <c r="AG47" s="121">
        <f>Tabell32[[#This Row],[MS]]+Tabell32[[#This Row],[MS2]]</f>
        <v>13</v>
      </c>
      <c r="AH47" s="121">
        <f>SUMIF(E:E,Tabell32[[#This Row],[MOTSTÅNDARE]],I:I)</f>
        <v>6</v>
      </c>
      <c r="AI47" s="121">
        <f>SUMIF(F:F,Tabell32[[#This Row],[MOTSTÅNDARE]],I:I)</f>
        <v>7</v>
      </c>
      <c r="AJ47" s="124">
        <f>Tabell32[[#This Row],[MS ÅHUS IF]]/Tabell32[[#This Row],[ÅHUS MATCHER]]</f>
        <v>6.5</v>
      </c>
      <c r="AK47" s="121">
        <f>(Tabell32[[#This Row],[VINST]]*3)+Tabell32[[#This Row],[OAVGJORT]]</f>
        <v>6</v>
      </c>
      <c r="AL47" s="124">
        <f>Tabell32[[#This Row],[POÄNG]]/Tabell32[[#This Row],[ÅHUS MATCHER]]</f>
        <v>3</v>
      </c>
      <c r="AM47" s="121">
        <f>IFERROR(Tabell32[[#This Row],[V H]]+Tabell32[[#This Row],[V B]],"0")</f>
        <v>2</v>
      </c>
      <c r="AN47" s="121">
        <f>IFERROR(Tabell32[[#This Row],[O H]]+Tabell32[[#This Row],[O B]],"0")</f>
        <v>0</v>
      </c>
      <c r="AO47" s="121">
        <f>IFERROR(Tabell32[[#This Row],[F H]]+Tabell32[[#This Row],[F B]],"0")</f>
        <v>0</v>
      </c>
      <c r="AP47" s="121">
        <f>SUMIF(MATCHHISTORIK[BORTALAG],Tabell32[[#This Row],[MOTSTÅNDARE]],MATCHHISTORIK[V])</f>
        <v>1</v>
      </c>
      <c r="AQ47" s="121">
        <f>SUMIF(MATCHHISTORIK[BORTALAG],Tabell32[[#This Row],[MOTSTÅNDARE]],MATCHHISTORIK[O])</f>
        <v>0</v>
      </c>
      <c r="AR47" s="97">
        <f>SUMIF(MATCHHISTORIK[BORTALAG],Tabell32[[#This Row],[MOTSTÅNDARE]],MATCHHISTORIK[F])</f>
        <v>0</v>
      </c>
      <c r="AS47" s="97">
        <f>SUMIF(MATCHHISTORIK[HEMMALAG],Tabell32[[#This Row],[MOTSTÅNDARE]],MATCHHISTORIK[V])</f>
        <v>1</v>
      </c>
      <c r="AT47" s="97">
        <f>SUMIF(MATCHHISTORIK[HEMMALAG],Tabell32[[#This Row],[MOTSTÅNDARE]],MATCHHISTORIK[O])</f>
        <v>0</v>
      </c>
      <c r="AU47" s="97">
        <f>SUMIF(MATCHHISTORIK[HEMMALAG],Tabell32[[#This Row],[MOTSTÅNDARE]],MATCHHISTORIK[F])</f>
        <v>0</v>
      </c>
    </row>
    <row r="48" spans="1:47" x14ac:dyDescent="0.25">
      <c r="A48" s="97">
        <v>12</v>
      </c>
      <c r="B48" s="97">
        <v>4</v>
      </c>
      <c r="C48" s="101">
        <v>2012</v>
      </c>
      <c r="D48" s="119">
        <v>41140</v>
      </c>
      <c r="E48" s="116" t="s">
        <v>254</v>
      </c>
      <c r="F48" s="116" t="s">
        <v>291</v>
      </c>
      <c r="G48" s="97">
        <v>2</v>
      </c>
      <c r="H48" s="97">
        <v>2</v>
      </c>
      <c r="I48" s="120">
        <v>0</v>
      </c>
      <c r="J48" s="97">
        <v>4</v>
      </c>
      <c r="K48" s="97">
        <v>1</v>
      </c>
      <c r="L48" s="97">
        <v>1</v>
      </c>
      <c r="N48" s="97">
        <v>1</v>
      </c>
      <c r="AE48" s="116" t="s">
        <v>347</v>
      </c>
      <c r="AF48" s="121">
        <f>COUNTIF(E:F,Tabell32[[#This Row],[MOTSTÅNDARE]])</f>
        <v>2</v>
      </c>
      <c r="AG48" s="121">
        <f>Tabell32[[#This Row],[MS]]+Tabell32[[#This Row],[MS2]]</f>
        <v>11</v>
      </c>
      <c r="AH48" s="121">
        <f>SUMIF(E:E,Tabell32[[#This Row],[MOTSTÅNDARE]],I:I)</f>
        <v>3</v>
      </c>
      <c r="AI48" s="121">
        <f>SUMIF(F:F,Tabell32[[#This Row],[MOTSTÅNDARE]],I:I)</f>
        <v>8</v>
      </c>
      <c r="AJ48" s="124">
        <f>Tabell32[[#This Row],[MS ÅHUS IF]]/Tabell32[[#This Row],[ÅHUS MATCHER]]</f>
        <v>5.5</v>
      </c>
      <c r="AK48" s="121">
        <f>(Tabell32[[#This Row],[VINST]]*3)+Tabell32[[#This Row],[OAVGJORT]]</f>
        <v>6</v>
      </c>
      <c r="AL48" s="124">
        <f>Tabell32[[#This Row],[POÄNG]]/Tabell32[[#This Row],[ÅHUS MATCHER]]</f>
        <v>3</v>
      </c>
      <c r="AM48" s="121">
        <f>IFERROR(Tabell32[[#This Row],[V H]]+Tabell32[[#This Row],[V B]],"0")</f>
        <v>2</v>
      </c>
      <c r="AN48" s="121">
        <f>IFERROR(Tabell32[[#This Row],[O H]]+Tabell32[[#This Row],[O B]],"0")</f>
        <v>0</v>
      </c>
      <c r="AO48" s="121">
        <f>IFERROR(Tabell32[[#This Row],[F H]]+Tabell32[[#This Row],[F B]],"0")</f>
        <v>0</v>
      </c>
      <c r="AP48" s="121">
        <f>SUMIF(MATCHHISTORIK[BORTALAG],Tabell32[[#This Row],[MOTSTÅNDARE]],MATCHHISTORIK[V])</f>
        <v>1</v>
      </c>
      <c r="AQ48" s="121">
        <f>SUMIF(MATCHHISTORIK[BORTALAG],Tabell32[[#This Row],[MOTSTÅNDARE]],MATCHHISTORIK[O])</f>
        <v>0</v>
      </c>
      <c r="AR48" s="97">
        <f>SUMIF(MATCHHISTORIK[BORTALAG],Tabell32[[#This Row],[MOTSTÅNDARE]],MATCHHISTORIK[F])</f>
        <v>0</v>
      </c>
      <c r="AS48" s="97">
        <f>SUMIF(MATCHHISTORIK[HEMMALAG],Tabell32[[#This Row],[MOTSTÅNDARE]],MATCHHISTORIK[V])</f>
        <v>1</v>
      </c>
      <c r="AT48" s="97">
        <f>SUMIF(MATCHHISTORIK[HEMMALAG],Tabell32[[#This Row],[MOTSTÅNDARE]],MATCHHISTORIK[O])</f>
        <v>0</v>
      </c>
      <c r="AU48" s="97">
        <f>SUMIF(MATCHHISTORIK[HEMMALAG],Tabell32[[#This Row],[MOTSTÅNDARE]],MATCHHISTORIK[F])</f>
        <v>0</v>
      </c>
    </row>
    <row r="49" spans="1:47" x14ac:dyDescent="0.25">
      <c r="A49" s="97">
        <v>13</v>
      </c>
      <c r="B49" s="97">
        <v>4</v>
      </c>
      <c r="C49" s="101">
        <v>2012</v>
      </c>
      <c r="D49" s="119">
        <v>41147</v>
      </c>
      <c r="E49" s="116" t="s">
        <v>266</v>
      </c>
      <c r="F49" s="116" t="s">
        <v>254</v>
      </c>
      <c r="G49" s="97">
        <v>3</v>
      </c>
      <c r="H49" s="97">
        <v>1</v>
      </c>
      <c r="I49" s="120">
        <v>-2</v>
      </c>
      <c r="J49" s="97">
        <v>4</v>
      </c>
      <c r="L49" s="97">
        <v>1</v>
      </c>
      <c r="O49" s="97">
        <v>1</v>
      </c>
      <c r="AE49" s="116" t="s">
        <v>280</v>
      </c>
      <c r="AF49" s="121">
        <f>COUNTIF(E:F,Tabell32[[#This Row],[MOTSTÅNDARE]])</f>
        <v>2</v>
      </c>
      <c r="AG49" s="121">
        <f>Tabell32[[#This Row],[MS]]+Tabell32[[#This Row],[MS2]]</f>
        <v>11</v>
      </c>
      <c r="AH49" s="121">
        <f>SUMIF(E:E,Tabell32[[#This Row],[MOTSTÅNDARE]],I:I)</f>
        <v>3</v>
      </c>
      <c r="AI49" s="121">
        <f>SUMIF(F:F,Tabell32[[#This Row],[MOTSTÅNDARE]],I:I)</f>
        <v>8</v>
      </c>
      <c r="AJ49" s="124">
        <f>Tabell32[[#This Row],[MS ÅHUS IF]]/Tabell32[[#This Row],[ÅHUS MATCHER]]</f>
        <v>5.5</v>
      </c>
      <c r="AK49" s="121">
        <f>(Tabell32[[#This Row],[VINST]]*3)+Tabell32[[#This Row],[OAVGJORT]]</f>
        <v>6</v>
      </c>
      <c r="AL49" s="124">
        <f>Tabell32[[#This Row],[POÄNG]]/Tabell32[[#This Row],[ÅHUS MATCHER]]</f>
        <v>3</v>
      </c>
      <c r="AM49" s="121">
        <f>IFERROR(Tabell32[[#This Row],[V H]]+Tabell32[[#This Row],[V B]],"0")</f>
        <v>2</v>
      </c>
      <c r="AN49" s="121">
        <f>IFERROR(Tabell32[[#This Row],[O H]]+Tabell32[[#This Row],[O B]],"0")</f>
        <v>0</v>
      </c>
      <c r="AO49" s="121">
        <f>IFERROR(Tabell32[[#This Row],[F H]]+Tabell32[[#This Row],[F B]],"0")</f>
        <v>0</v>
      </c>
      <c r="AP49" s="121">
        <f>SUMIF(MATCHHISTORIK[BORTALAG],Tabell32[[#This Row],[MOTSTÅNDARE]],MATCHHISTORIK[V])</f>
        <v>1</v>
      </c>
      <c r="AQ49" s="121">
        <f>SUMIF(MATCHHISTORIK[BORTALAG],Tabell32[[#This Row],[MOTSTÅNDARE]],MATCHHISTORIK[O])</f>
        <v>0</v>
      </c>
      <c r="AR49" s="97">
        <f>SUMIF(MATCHHISTORIK[BORTALAG],Tabell32[[#This Row],[MOTSTÅNDARE]],MATCHHISTORIK[F])</f>
        <v>0</v>
      </c>
      <c r="AS49" s="97">
        <f>SUMIF(MATCHHISTORIK[HEMMALAG],Tabell32[[#This Row],[MOTSTÅNDARE]],MATCHHISTORIK[V])</f>
        <v>1</v>
      </c>
      <c r="AT49" s="97">
        <f>SUMIF(MATCHHISTORIK[HEMMALAG],Tabell32[[#This Row],[MOTSTÅNDARE]],MATCHHISTORIK[O])</f>
        <v>0</v>
      </c>
      <c r="AU49" s="97">
        <f>SUMIF(MATCHHISTORIK[HEMMALAG],Tabell32[[#This Row],[MOTSTÅNDARE]],MATCHHISTORIK[F])</f>
        <v>0</v>
      </c>
    </row>
    <row r="50" spans="1:47" x14ac:dyDescent="0.25">
      <c r="A50" s="97">
        <v>14</v>
      </c>
      <c r="B50" s="97">
        <v>4</v>
      </c>
      <c r="C50" s="101">
        <v>2012</v>
      </c>
      <c r="D50" s="119">
        <v>41154</v>
      </c>
      <c r="E50" s="116" t="s">
        <v>254</v>
      </c>
      <c r="F50" s="116" t="s">
        <v>261</v>
      </c>
      <c r="G50" s="97">
        <v>0</v>
      </c>
      <c r="H50" s="97">
        <v>2</v>
      </c>
      <c r="I50" s="120">
        <v>-2</v>
      </c>
      <c r="J50" s="97">
        <v>2</v>
      </c>
      <c r="L50" s="97"/>
      <c r="O50" s="97">
        <v>1</v>
      </c>
      <c r="AE50" s="116" t="s">
        <v>281</v>
      </c>
      <c r="AF50" s="121">
        <f>COUNTIF(E:F,Tabell32[[#This Row],[MOTSTÅNDARE]])</f>
        <v>2</v>
      </c>
      <c r="AG50" s="121">
        <f>Tabell32[[#This Row],[MS]]+Tabell32[[#This Row],[MS2]]</f>
        <v>11</v>
      </c>
      <c r="AH50" s="121">
        <f>SUMIF(E:E,Tabell32[[#This Row],[MOTSTÅNDARE]],I:I)</f>
        <v>3</v>
      </c>
      <c r="AI50" s="121">
        <f>SUMIF(F:F,Tabell32[[#This Row],[MOTSTÅNDARE]],I:I)</f>
        <v>8</v>
      </c>
      <c r="AJ50" s="124">
        <f>Tabell32[[#This Row],[MS ÅHUS IF]]/Tabell32[[#This Row],[ÅHUS MATCHER]]</f>
        <v>5.5</v>
      </c>
      <c r="AK50" s="121">
        <f>(Tabell32[[#This Row],[VINST]]*3)+Tabell32[[#This Row],[OAVGJORT]]</f>
        <v>6</v>
      </c>
      <c r="AL50" s="124">
        <f>Tabell32[[#This Row],[POÄNG]]/Tabell32[[#This Row],[ÅHUS MATCHER]]</f>
        <v>3</v>
      </c>
      <c r="AM50" s="121">
        <f>IFERROR(Tabell32[[#This Row],[V H]]+Tabell32[[#This Row],[V B]],"0")</f>
        <v>2</v>
      </c>
      <c r="AN50" s="121">
        <f>IFERROR(Tabell32[[#This Row],[O H]]+Tabell32[[#This Row],[O B]],"0")</f>
        <v>0</v>
      </c>
      <c r="AO50" s="121">
        <f>IFERROR(Tabell32[[#This Row],[F H]]+Tabell32[[#This Row],[F B]],"0")</f>
        <v>0</v>
      </c>
      <c r="AP50" s="121">
        <f>SUMIF(MATCHHISTORIK[BORTALAG],Tabell32[[#This Row],[MOTSTÅNDARE]],MATCHHISTORIK[V])</f>
        <v>1</v>
      </c>
      <c r="AQ50" s="121">
        <f>SUMIF(MATCHHISTORIK[BORTALAG],Tabell32[[#This Row],[MOTSTÅNDARE]],MATCHHISTORIK[O])</f>
        <v>0</v>
      </c>
      <c r="AR50" s="97">
        <f>SUMIF(MATCHHISTORIK[BORTALAG],Tabell32[[#This Row],[MOTSTÅNDARE]],MATCHHISTORIK[F])</f>
        <v>0</v>
      </c>
      <c r="AS50" s="97">
        <f>SUMIF(MATCHHISTORIK[HEMMALAG],Tabell32[[#This Row],[MOTSTÅNDARE]],MATCHHISTORIK[V])</f>
        <v>1</v>
      </c>
      <c r="AT50" s="97">
        <f>SUMIF(MATCHHISTORIK[HEMMALAG],Tabell32[[#This Row],[MOTSTÅNDARE]],MATCHHISTORIK[O])</f>
        <v>0</v>
      </c>
      <c r="AU50" s="97">
        <f>SUMIF(MATCHHISTORIK[HEMMALAG],Tabell32[[#This Row],[MOTSTÅNDARE]],MATCHHISTORIK[F])</f>
        <v>0</v>
      </c>
    </row>
    <row r="51" spans="1:47" x14ac:dyDescent="0.25">
      <c r="A51" s="97">
        <v>15</v>
      </c>
      <c r="B51" s="97">
        <v>4</v>
      </c>
      <c r="C51" s="101">
        <v>2012</v>
      </c>
      <c r="D51" s="119">
        <v>41161</v>
      </c>
      <c r="E51" s="116" t="s">
        <v>254</v>
      </c>
      <c r="F51" s="116" t="s">
        <v>295</v>
      </c>
      <c r="G51" s="97">
        <v>4</v>
      </c>
      <c r="H51" s="97">
        <v>2</v>
      </c>
      <c r="I51" s="120">
        <v>2</v>
      </c>
      <c r="J51" s="97">
        <v>6</v>
      </c>
      <c r="K51" s="97">
        <v>1</v>
      </c>
      <c r="L51" s="97">
        <v>1</v>
      </c>
      <c r="M51" s="97">
        <v>1</v>
      </c>
      <c r="AE51" s="116" t="s">
        <v>290</v>
      </c>
      <c r="AF51" s="121">
        <f>COUNTIF(E:F,Tabell32[[#This Row],[MOTSTÅNDARE]])</f>
        <v>2</v>
      </c>
      <c r="AG51" s="121">
        <f>Tabell32[[#This Row],[MS]]+Tabell32[[#This Row],[MS2]]</f>
        <v>8</v>
      </c>
      <c r="AH51" s="121">
        <f>SUMIF(E:E,Tabell32[[#This Row],[MOTSTÅNDARE]],I:I)</f>
        <v>6</v>
      </c>
      <c r="AI51" s="121">
        <f>SUMIF(F:F,Tabell32[[#This Row],[MOTSTÅNDARE]],I:I)</f>
        <v>2</v>
      </c>
      <c r="AJ51" s="124">
        <f>Tabell32[[#This Row],[MS ÅHUS IF]]/Tabell32[[#This Row],[ÅHUS MATCHER]]</f>
        <v>4</v>
      </c>
      <c r="AK51" s="121">
        <f>(Tabell32[[#This Row],[VINST]]*3)+Tabell32[[#This Row],[OAVGJORT]]</f>
        <v>6</v>
      </c>
      <c r="AL51" s="124">
        <f>Tabell32[[#This Row],[POÄNG]]/Tabell32[[#This Row],[ÅHUS MATCHER]]</f>
        <v>3</v>
      </c>
      <c r="AM51" s="121">
        <f>IFERROR(Tabell32[[#This Row],[V H]]+Tabell32[[#This Row],[V B]],"0")</f>
        <v>2</v>
      </c>
      <c r="AN51" s="121">
        <f>IFERROR(Tabell32[[#This Row],[O H]]+Tabell32[[#This Row],[O B]],"0")</f>
        <v>0</v>
      </c>
      <c r="AO51" s="121">
        <f>IFERROR(Tabell32[[#This Row],[F H]]+Tabell32[[#This Row],[F B]],"0")</f>
        <v>0</v>
      </c>
      <c r="AP51" s="121">
        <f>SUMIF(MATCHHISTORIK[BORTALAG],Tabell32[[#This Row],[MOTSTÅNDARE]],MATCHHISTORIK[V])</f>
        <v>1</v>
      </c>
      <c r="AQ51" s="121">
        <f>SUMIF(MATCHHISTORIK[BORTALAG],Tabell32[[#This Row],[MOTSTÅNDARE]],MATCHHISTORIK[O])</f>
        <v>0</v>
      </c>
      <c r="AR51" s="97">
        <f>SUMIF(MATCHHISTORIK[BORTALAG],Tabell32[[#This Row],[MOTSTÅNDARE]],MATCHHISTORIK[F])</f>
        <v>0</v>
      </c>
      <c r="AS51" s="97">
        <f>SUMIF(MATCHHISTORIK[HEMMALAG],Tabell32[[#This Row],[MOTSTÅNDARE]],MATCHHISTORIK[V])</f>
        <v>1</v>
      </c>
      <c r="AT51" s="97">
        <f>SUMIF(MATCHHISTORIK[HEMMALAG],Tabell32[[#This Row],[MOTSTÅNDARE]],MATCHHISTORIK[O])</f>
        <v>0</v>
      </c>
      <c r="AU51" s="97">
        <f>SUMIF(MATCHHISTORIK[HEMMALAG],Tabell32[[#This Row],[MOTSTÅNDARE]],MATCHHISTORIK[F])</f>
        <v>0</v>
      </c>
    </row>
    <row r="52" spans="1:47" x14ac:dyDescent="0.25">
      <c r="A52" s="97">
        <v>16</v>
      </c>
      <c r="B52" s="97">
        <v>4</v>
      </c>
      <c r="C52" s="101">
        <v>2012</v>
      </c>
      <c r="D52" s="119">
        <v>41168</v>
      </c>
      <c r="E52" s="116" t="s">
        <v>254</v>
      </c>
      <c r="F52" s="116" t="s">
        <v>297</v>
      </c>
      <c r="G52" s="97">
        <v>2</v>
      </c>
      <c r="H52" s="97">
        <v>5</v>
      </c>
      <c r="I52" s="120">
        <v>-3</v>
      </c>
      <c r="J52" s="97">
        <v>7</v>
      </c>
      <c r="L52" s="97">
        <v>1</v>
      </c>
      <c r="O52" s="97">
        <v>1</v>
      </c>
      <c r="AE52" s="116" t="s">
        <v>298</v>
      </c>
      <c r="AF52" s="121">
        <f>COUNTIF(E:F,Tabell32[[#This Row],[MOTSTÅNDARE]])</f>
        <v>2</v>
      </c>
      <c r="AG52" s="121">
        <f>Tabell32[[#This Row],[MS]]+Tabell32[[#This Row],[MS2]]</f>
        <v>5</v>
      </c>
      <c r="AH52" s="121">
        <f>SUMIF(E:E,Tabell32[[#This Row],[MOTSTÅNDARE]],I:I)</f>
        <v>3</v>
      </c>
      <c r="AI52" s="121">
        <f>SUMIF(F:F,Tabell32[[#This Row],[MOTSTÅNDARE]],I:I)</f>
        <v>2</v>
      </c>
      <c r="AJ52" s="124">
        <f>Tabell32[[#This Row],[MS ÅHUS IF]]/Tabell32[[#This Row],[ÅHUS MATCHER]]</f>
        <v>2.5</v>
      </c>
      <c r="AK52" s="121">
        <f>(Tabell32[[#This Row],[VINST]]*3)+Tabell32[[#This Row],[OAVGJORT]]</f>
        <v>6</v>
      </c>
      <c r="AL52" s="124">
        <f>Tabell32[[#This Row],[POÄNG]]/Tabell32[[#This Row],[ÅHUS MATCHER]]</f>
        <v>3</v>
      </c>
      <c r="AM52" s="121">
        <f>IFERROR(Tabell32[[#This Row],[V H]]+Tabell32[[#This Row],[V B]],"0")</f>
        <v>2</v>
      </c>
      <c r="AN52" s="121">
        <f>IFERROR(Tabell32[[#This Row],[O H]]+Tabell32[[#This Row],[O B]],"0")</f>
        <v>0</v>
      </c>
      <c r="AO52" s="121">
        <f>IFERROR(Tabell32[[#This Row],[F H]]+Tabell32[[#This Row],[F B]],"0")</f>
        <v>0</v>
      </c>
      <c r="AP52" s="121">
        <f>SUMIF(MATCHHISTORIK[BORTALAG],Tabell32[[#This Row],[MOTSTÅNDARE]],MATCHHISTORIK[V])</f>
        <v>1</v>
      </c>
      <c r="AQ52" s="121">
        <f>SUMIF(MATCHHISTORIK[BORTALAG],Tabell32[[#This Row],[MOTSTÅNDARE]],MATCHHISTORIK[O])</f>
        <v>0</v>
      </c>
      <c r="AR52" s="97">
        <f>SUMIF(MATCHHISTORIK[BORTALAG],Tabell32[[#This Row],[MOTSTÅNDARE]],MATCHHISTORIK[F])</f>
        <v>0</v>
      </c>
      <c r="AS52" s="97">
        <f>SUMIF(MATCHHISTORIK[HEMMALAG],Tabell32[[#This Row],[MOTSTÅNDARE]],MATCHHISTORIK[V])</f>
        <v>1</v>
      </c>
      <c r="AT52" s="97">
        <f>SUMIF(MATCHHISTORIK[HEMMALAG],Tabell32[[#This Row],[MOTSTÅNDARE]],MATCHHISTORIK[O])</f>
        <v>0</v>
      </c>
      <c r="AU52" s="97">
        <f>SUMIF(MATCHHISTORIK[HEMMALAG],Tabell32[[#This Row],[MOTSTÅNDARE]],MATCHHISTORIK[F])</f>
        <v>0</v>
      </c>
    </row>
    <row r="53" spans="1:47" x14ac:dyDescent="0.25">
      <c r="A53" s="97">
        <v>17</v>
      </c>
      <c r="B53" s="97">
        <v>4</v>
      </c>
      <c r="C53" s="101">
        <v>2012</v>
      </c>
      <c r="D53" s="119">
        <v>41174</v>
      </c>
      <c r="E53" s="116" t="s">
        <v>254</v>
      </c>
      <c r="F53" s="116" t="s">
        <v>299</v>
      </c>
      <c r="G53" s="97">
        <v>0</v>
      </c>
      <c r="H53" s="97">
        <v>8</v>
      </c>
      <c r="I53" s="120">
        <v>-8</v>
      </c>
      <c r="J53" s="97">
        <v>8</v>
      </c>
      <c r="L53" s="97"/>
      <c r="O53" s="97">
        <v>1</v>
      </c>
      <c r="AE53" s="116" t="s">
        <v>302</v>
      </c>
      <c r="AF53" s="121">
        <f>COUNTIF(E:F,Tabell32[[#This Row],[MOTSTÅNDARE]])</f>
        <v>2</v>
      </c>
      <c r="AG53" s="121">
        <f>Tabell32[[#This Row],[MS]]+Tabell32[[#This Row],[MS2]]</f>
        <v>4</v>
      </c>
      <c r="AH53" s="121">
        <f>SUMIF(E:E,Tabell32[[#This Row],[MOTSTÅNDARE]],I:I)</f>
        <v>1</v>
      </c>
      <c r="AI53" s="121">
        <f>SUMIF(F:F,Tabell32[[#This Row],[MOTSTÅNDARE]],I:I)</f>
        <v>3</v>
      </c>
      <c r="AJ53" s="124">
        <f>Tabell32[[#This Row],[MS ÅHUS IF]]/Tabell32[[#This Row],[ÅHUS MATCHER]]</f>
        <v>2</v>
      </c>
      <c r="AK53" s="121">
        <f>(Tabell32[[#This Row],[VINST]]*3)+Tabell32[[#This Row],[OAVGJORT]]</f>
        <v>6</v>
      </c>
      <c r="AL53" s="124">
        <f>Tabell32[[#This Row],[POÄNG]]/Tabell32[[#This Row],[ÅHUS MATCHER]]</f>
        <v>3</v>
      </c>
      <c r="AM53" s="121">
        <f>IFERROR(Tabell32[[#This Row],[V H]]+Tabell32[[#This Row],[V B]],"0")</f>
        <v>2</v>
      </c>
      <c r="AN53" s="121">
        <f>IFERROR(Tabell32[[#This Row],[O H]]+Tabell32[[#This Row],[O B]],"0")</f>
        <v>0</v>
      </c>
      <c r="AO53" s="121">
        <f>IFERROR(Tabell32[[#This Row],[F H]]+Tabell32[[#This Row],[F B]],"0")</f>
        <v>0</v>
      </c>
      <c r="AP53" s="121">
        <f>SUMIF(MATCHHISTORIK[BORTALAG],Tabell32[[#This Row],[MOTSTÅNDARE]],MATCHHISTORIK[V])</f>
        <v>1</v>
      </c>
      <c r="AQ53" s="121">
        <f>SUMIF(MATCHHISTORIK[BORTALAG],Tabell32[[#This Row],[MOTSTÅNDARE]],MATCHHISTORIK[O])</f>
        <v>0</v>
      </c>
      <c r="AR53" s="97">
        <f>SUMIF(MATCHHISTORIK[BORTALAG],Tabell32[[#This Row],[MOTSTÅNDARE]],MATCHHISTORIK[F])</f>
        <v>0</v>
      </c>
      <c r="AS53" s="97">
        <f>SUMIF(MATCHHISTORIK[HEMMALAG],Tabell32[[#This Row],[MOTSTÅNDARE]],MATCHHISTORIK[V])</f>
        <v>1</v>
      </c>
      <c r="AT53" s="97">
        <f>SUMIF(MATCHHISTORIK[HEMMALAG],Tabell32[[#This Row],[MOTSTÅNDARE]],MATCHHISTORIK[O])</f>
        <v>0</v>
      </c>
      <c r="AU53" s="97">
        <f>SUMIF(MATCHHISTORIK[HEMMALAG],Tabell32[[#This Row],[MOTSTÅNDARE]],MATCHHISTORIK[F])</f>
        <v>0</v>
      </c>
    </row>
    <row r="54" spans="1:47" x14ac:dyDescent="0.25">
      <c r="A54" s="97">
        <v>18</v>
      </c>
      <c r="B54" s="97">
        <v>4</v>
      </c>
      <c r="C54" s="101">
        <v>2012</v>
      </c>
      <c r="D54" s="119">
        <v>41181</v>
      </c>
      <c r="E54" s="116" t="s">
        <v>301</v>
      </c>
      <c r="F54" s="116" t="s">
        <v>254</v>
      </c>
      <c r="G54" s="97">
        <v>4</v>
      </c>
      <c r="H54" s="97">
        <v>3</v>
      </c>
      <c r="I54" s="120">
        <v>-1</v>
      </c>
      <c r="J54" s="97">
        <v>7</v>
      </c>
      <c r="L54" s="97">
        <v>1</v>
      </c>
      <c r="O54" s="97">
        <v>1</v>
      </c>
      <c r="AE54" s="116" t="s">
        <v>304</v>
      </c>
      <c r="AF54" s="121">
        <f>COUNTIF(E:F,Tabell32[[#This Row],[MOTSTÅNDARE]])</f>
        <v>2</v>
      </c>
      <c r="AG54" s="121">
        <f>Tabell32[[#This Row],[MS]]+Tabell32[[#This Row],[MS2]]</f>
        <v>4</v>
      </c>
      <c r="AH54" s="121">
        <f>SUMIF(E:E,Tabell32[[#This Row],[MOTSTÅNDARE]],I:I)</f>
        <v>1</v>
      </c>
      <c r="AI54" s="121">
        <f>SUMIF(F:F,Tabell32[[#This Row],[MOTSTÅNDARE]],I:I)</f>
        <v>3</v>
      </c>
      <c r="AJ54" s="124">
        <f>Tabell32[[#This Row],[MS ÅHUS IF]]/Tabell32[[#This Row],[ÅHUS MATCHER]]</f>
        <v>2</v>
      </c>
      <c r="AK54" s="121">
        <f>(Tabell32[[#This Row],[VINST]]*3)+Tabell32[[#This Row],[OAVGJORT]]</f>
        <v>6</v>
      </c>
      <c r="AL54" s="124">
        <f>Tabell32[[#This Row],[POÄNG]]/Tabell32[[#This Row],[ÅHUS MATCHER]]</f>
        <v>3</v>
      </c>
      <c r="AM54" s="121">
        <f>IFERROR(Tabell32[[#This Row],[V H]]+Tabell32[[#This Row],[V B]],"0")</f>
        <v>2</v>
      </c>
      <c r="AN54" s="121">
        <f>IFERROR(Tabell32[[#This Row],[O H]]+Tabell32[[#This Row],[O B]],"0")</f>
        <v>0</v>
      </c>
      <c r="AO54" s="121">
        <f>IFERROR(Tabell32[[#This Row],[F H]]+Tabell32[[#This Row],[F B]],"0")</f>
        <v>0</v>
      </c>
      <c r="AP54" s="121">
        <f>SUMIF(MATCHHISTORIK[BORTALAG],Tabell32[[#This Row],[MOTSTÅNDARE]],MATCHHISTORIK[V])</f>
        <v>1</v>
      </c>
      <c r="AQ54" s="121">
        <f>SUMIF(MATCHHISTORIK[BORTALAG],Tabell32[[#This Row],[MOTSTÅNDARE]],MATCHHISTORIK[O])</f>
        <v>0</v>
      </c>
      <c r="AR54" s="97">
        <f>SUMIF(MATCHHISTORIK[BORTALAG],Tabell32[[#This Row],[MOTSTÅNDARE]],MATCHHISTORIK[F])</f>
        <v>0</v>
      </c>
      <c r="AS54" s="97">
        <f>SUMIF(MATCHHISTORIK[HEMMALAG],Tabell32[[#This Row],[MOTSTÅNDARE]],MATCHHISTORIK[V])</f>
        <v>1</v>
      </c>
      <c r="AT54" s="97">
        <f>SUMIF(MATCHHISTORIK[HEMMALAG],Tabell32[[#This Row],[MOTSTÅNDARE]],MATCHHISTORIK[O])</f>
        <v>0</v>
      </c>
      <c r="AU54" s="97">
        <f>SUMIF(MATCHHISTORIK[HEMMALAG],Tabell32[[#This Row],[MOTSTÅNDARE]],MATCHHISTORIK[F])</f>
        <v>0</v>
      </c>
    </row>
    <row r="55" spans="1:47" x14ac:dyDescent="0.25">
      <c r="A55" s="97">
        <v>1</v>
      </c>
      <c r="B55" s="97">
        <v>4</v>
      </c>
      <c r="C55" s="101">
        <v>2013</v>
      </c>
      <c r="D55" s="119">
        <v>41380</v>
      </c>
      <c r="E55" s="116" t="s">
        <v>310</v>
      </c>
      <c r="F55" s="116" t="s">
        <v>254</v>
      </c>
      <c r="G55" s="97">
        <v>2</v>
      </c>
      <c r="H55" s="97">
        <v>2</v>
      </c>
      <c r="I55" s="120">
        <v>0</v>
      </c>
      <c r="J55" s="97">
        <v>4</v>
      </c>
      <c r="K55" s="97">
        <v>1</v>
      </c>
      <c r="L55" s="97">
        <v>1</v>
      </c>
      <c r="N55" s="97">
        <v>1</v>
      </c>
      <c r="AE55" s="116" t="s">
        <v>306</v>
      </c>
      <c r="AF55" s="121">
        <f>COUNTIF(E:F,Tabell32[[#This Row],[MOTSTÅNDARE]])</f>
        <v>2</v>
      </c>
      <c r="AG55" s="121">
        <f>Tabell32[[#This Row],[MS]]+Tabell32[[#This Row],[MS2]]</f>
        <v>3</v>
      </c>
      <c r="AH55" s="121">
        <f>SUMIF(E:E,Tabell32[[#This Row],[MOTSTÅNDARE]],I:I)</f>
        <v>1</v>
      </c>
      <c r="AI55" s="121">
        <f>SUMIF(F:F,Tabell32[[#This Row],[MOTSTÅNDARE]],I:I)</f>
        <v>2</v>
      </c>
      <c r="AJ55" s="124">
        <f>Tabell32[[#This Row],[MS ÅHUS IF]]/Tabell32[[#This Row],[ÅHUS MATCHER]]</f>
        <v>1.5</v>
      </c>
      <c r="AK55" s="121">
        <f>(Tabell32[[#This Row],[VINST]]*3)+Tabell32[[#This Row],[OAVGJORT]]</f>
        <v>6</v>
      </c>
      <c r="AL55" s="124">
        <f>Tabell32[[#This Row],[POÄNG]]/Tabell32[[#This Row],[ÅHUS MATCHER]]</f>
        <v>3</v>
      </c>
      <c r="AM55" s="121">
        <f>IFERROR(Tabell32[[#This Row],[V H]]+Tabell32[[#This Row],[V B]],"0")</f>
        <v>2</v>
      </c>
      <c r="AN55" s="121">
        <f>IFERROR(Tabell32[[#This Row],[O H]]+Tabell32[[#This Row],[O B]],"0")</f>
        <v>0</v>
      </c>
      <c r="AO55" s="121">
        <f>IFERROR(Tabell32[[#This Row],[F H]]+Tabell32[[#This Row],[F B]],"0")</f>
        <v>0</v>
      </c>
      <c r="AP55" s="121">
        <f>SUMIF(MATCHHISTORIK[BORTALAG],Tabell32[[#This Row],[MOTSTÅNDARE]],MATCHHISTORIK[V])</f>
        <v>1</v>
      </c>
      <c r="AQ55" s="121">
        <f>SUMIF(MATCHHISTORIK[BORTALAG],Tabell32[[#This Row],[MOTSTÅNDARE]],MATCHHISTORIK[O])</f>
        <v>0</v>
      </c>
      <c r="AR55" s="97">
        <f>SUMIF(MATCHHISTORIK[BORTALAG],Tabell32[[#This Row],[MOTSTÅNDARE]],MATCHHISTORIK[F])</f>
        <v>0</v>
      </c>
      <c r="AS55" s="97">
        <f>SUMIF(MATCHHISTORIK[HEMMALAG],Tabell32[[#This Row],[MOTSTÅNDARE]],MATCHHISTORIK[V])</f>
        <v>1</v>
      </c>
      <c r="AT55" s="97">
        <f>SUMIF(MATCHHISTORIK[HEMMALAG],Tabell32[[#This Row],[MOTSTÅNDARE]],MATCHHISTORIK[O])</f>
        <v>0</v>
      </c>
      <c r="AU55" s="97">
        <f>SUMIF(MATCHHISTORIK[HEMMALAG],Tabell32[[#This Row],[MOTSTÅNDARE]],MATCHHISTORIK[F])</f>
        <v>0</v>
      </c>
    </row>
    <row r="56" spans="1:47" x14ac:dyDescent="0.25">
      <c r="A56" s="97">
        <v>2</v>
      </c>
      <c r="B56" s="97">
        <v>4</v>
      </c>
      <c r="C56" s="101">
        <v>2013</v>
      </c>
      <c r="D56" s="119">
        <v>41385</v>
      </c>
      <c r="E56" s="116" t="s">
        <v>254</v>
      </c>
      <c r="F56" s="116" t="s">
        <v>257</v>
      </c>
      <c r="G56" s="97">
        <v>2</v>
      </c>
      <c r="H56" s="97">
        <v>1</v>
      </c>
      <c r="I56" s="120">
        <v>1</v>
      </c>
      <c r="J56" s="97">
        <v>3</v>
      </c>
      <c r="K56" s="97">
        <v>2</v>
      </c>
      <c r="L56" s="97">
        <v>1</v>
      </c>
      <c r="M56" s="97">
        <v>1</v>
      </c>
      <c r="AE56" s="116" t="s">
        <v>307</v>
      </c>
      <c r="AF56" s="121">
        <f>COUNTIF(E:F,Tabell32[[#This Row],[MOTSTÅNDARE]])</f>
        <v>2</v>
      </c>
      <c r="AG56" s="121">
        <f>Tabell32[[#This Row],[MS]]+Tabell32[[#This Row],[MS2]]</f>
        <v>3</v>
      </c>
      <c r="AH56" s="121">
        <f>SUMIF(E:E,Tabell32[[#This Row],[MOTSTÅNDARE]],I:I)</f>
        <v>1</v>
      </c>
      <c r="AI56" s="121">
        <f>SUMIF(F:F,Tabell32[[#This Row],[MOTSTÅNDARE]],I:I)</f>
        <v>2</v>
      </c>
      <c r="AJ56" s="124">
        <f>Tabell32[[#This Row],[MS ÅHUS IF]]/Tabell32[[#This Row],[ÅHUS MATCHER]]</f>
        <v>1.5</v>
      </c>
      <c r="AK56" s="121">
        <f>(Tabell32[[#This Row],[VINST]]*3)+Tabell32[[#This Row],[OAVGJORT]]</f>
        <v>6</v>
      </c>
      <c r="AL56" s="124">
        <f>Tabell32[[#This Row],[POÄNG]]/Tabell32[[#This Row],[ÅHUS MATCHER]]</f>
        <v>3</v>
      </c>
      <c r="AM56" s="121">
        <f>IFERROR(Tabell32[[#This Row],[V H]]+Tabell32[[#This Row],[V B]],"0")</f>
        <v>2</v>
      </c>
      <c r="AN56" s="121">
        <f>IFERROR(Tabell32[[#This Row],[O H]]+Tabell32[[#This Row],[O B]],"0")</f>
        <v>0</v>
      </c>
      <c r="AO56" s="121">
        <f>IFERROR(Tabell32[[#This Row],[F H]]+Tabell32[[#This Row],[F B]],"0")</f>
        <v>0</v>
      </c>
      <c r="AP56" s="121">
        <f>SUMIF(MATCHHISTORIK[BORTALAG],Tabell32[[#This Row],[MOTSTÅNDARE]],MATCHHISTORIK[V])</f>
        <v>1</v>
      </c>
      <c r="AQ56" s="121">
        <f>SUMIF(MATCHHISTORIK[BORTALAG],Tabell32[[#This Row],[MOTSTÅNDARE]],MATCHHISTORIK[O])</f>
        <v>0</v>
      </c>
      <c r="AR56" s="97">
        <f>SUMIF(MATCHHISTORIK[BORTALAG],Tabell32[[#This Row],[MOTSTÅNDARE]],MATCHHISTORIK[F])</f>
        <v>0</v>
      </c>
      <c r="AS56" s="97">
        <f>SUMIF(MATCHHISTORIK[HEMMALAG],Tabell32[[#This Row],[MOTSTÅNDARE]],MATCHHISTORIK[V])</f>
        <v>1</v>
      </c>
      <c r="AT56" s="97">
        <f>SUMIF(MATCHHISTORIK[HEMMALAG],Tabell32[[#This Row],[MOTSTÅNDARE]],MATCHHISTORIK[O])</f>
        <v>0</v>
      </c>
      <c r="AU56" s="97">
        <f>SUMIF(MATCHHISTORIK[HEMMALAG],Tabell32[[#This Row],[MOTSTÅNDARE]],MATCHHISTORIK[F])</f>
        <v>0</v>
      </c>
    </row>
    <row r="57" spans="1:47" x14ac:dyDescent="0.25">
      <c r="A57" s="97">
        <v>3</v>
      </c>
      <c r="B57" s="97">
        <v>4</v>
      </c>
      <c r="C57" s="101">
        <v>2013</v>
      </c>
      <c r="D57" s="119">
        <v>41392</v>
      </c>
      <c r="E57" s="116" t="s">
        <v>313</v>
      </c>
      <c r="F57" s="116" t="s">
        <v>254</v>
      </c>
      <c r="G57" s="97">
        <v>3</v>
      </c>
      <c r="H57" s="97">
        <v>1</v>
      </c>
      <c r="I57" s="120">
        <v>-2</v>
      </c>
      <c r="J57" s="97">
        <v>4</v>
      </c>
      <c r="L57" s="97">
        <v>1</v>
      </c>
      <c r="O57" s="97">
        <v>1</v>
      </c>
      <c r="AE57" s="116" t="s">
        <v>293</v>
      </c>
      <c r="AF57" s="121">
        <f>COUNTIF(E:F,Tabell32[[#This Row],[MOTSTÅNDARE]])</f>
        <v>2</v>
      </c>
      <c r="AG57" s="121">
        <f>Tabell32[[#This Row],[MS]]+Tabell32[[#This Row],[MS2]]</f>
        <v>7</v>
      </c>
      <c r="AH57" s="121">
        <f>SUMIF(E:E,Tabell32[[#This Row],[MOTSTÅNDARE]],I:I)</f>
        <v>0</v>
      </c>
      <c r="AI57" s="121">
        <f>SUMIF(F:F,Tabell32[[#This Row],[MOTSTÅNDARE]],I:I)</f>
        <v>7</v>
      </c>
      <c r="AJ57" s="124">
        <f>Tabell32[[#This Row],[MS ÅHUS IF]]/Tabell32[[#This Row],[ÅHUS MATCHER]]</f>
        <v>3.5</v>
      </c>
      <c r="AK57" s="121">
        <f>(Tabell32[[#This Row],[VINST]]*3)+Tabell32[[#This Row],[OAVGJORT]]</f>
        <v>6</v>
      </c>
      <c r="AL57" s="124">
        <f>Tabell32[[#This Row],[POÄNG]]/Tabell32[[#This Row],[ÅHUS MATCHER]]</f>
        <v>3</v>
      </c>
      <c r="AM57" s="121">
        <f>IFERROR(Tabell32[[#This Row],[V H]]+Tabell32[[#This Row],[V B]],"0")</f>
        <v>2</v>
      </c>
      <c r="AN57" s="121">
        <f>IFERROR(Tabell32[[#This Row],[O H]]+Tabell32[[#This Row],[O B]],"0")</f>
        <v>0</v>
      </c>
      <c r="AO57" s="121">
        <f>IFERROR(Tabell32[[#This Row],[F H]]+Tabell32[[#This Row],[F B]],"0")</f>
        <v>0</v>
      </c>
      <c r="AP57" s="121">
        <f>SUMIF(MATCHHISTORIK[BORTALAG],Tabell32[[#This Row],[MOTSTÅNDARE]],MATCHHISTORIK[V])</f>
        <v>2</v>
      </c>
      <c r="AQ57" s="121">
        <f>SUMIF(MATCHHISTORIK[BORTALAG],Tabell32[[#This Row],[MOTSTÅNDARE]],MATCHHISTORIK[O])</f>
        <v>0</v>
      </c>
      <c r="AR57" s="97">
        <f>SUMIF(MATCHHISTORIK[BORTALAG],Tabell32[[#This Row],[MOTSTÅNDARE]],MATCHHISTORIK[F])</f>
        <v>0</v>
      </c>
      <c r="AS57" s="97">
        <f>SUMIF(MATCHHISTORIK[HEMMALAG],Tabell32[[#This Row],[MOTSTÅNDARE]],MATCHHISTORIK[V])</f>
        <v>0</v>
      </c>
      <c r="AT57" s="97">
        <f>SUMIF(MATCHHISTORIK[HEMMALAG],Tabell32[[#This Row],[MOTSTÅNDARE]],MATCHHISTORIK[O])</f>
        <v>0</v>
      </c>
      <c r="AU57" s="97">
        <f>SUMIF(MATCHHISTORIK[HEMMALAG],Tabell32[[#This Row],[MOTSTÅNDARE]],MATCHHISTORIK[F])</f>
        <v>0</v>
      </c>
    </row>
    <row r="58" spans="1:47" x14ac:dyDescent="0.25">
      <c r="A58" s="97">
        <v>4</v>
      </c>
      <c r="B58" s="97">
        <v>4</v>
      </c>
      <c r="C58" s="101">
        <v>2013</v>
      </c>
      <c r="D58" s="119">
        <v>41399</v>
      </c>
      <c r="E58" s="116" t="s">
        <v>254</v>
      </c>
      <c r="F58" s="116" t="s">
        <v>315</v>
      </c>
      <c r="G58" s="97">
        <v>1</v>
      </c>
      <c r="H58" s="97">
        <v>2</v>
      </c>
      <c r="I58" s="120">
        <v>-1</v>
      </c>
      <c r="J58" s="97">
        <v>3</v>
      </c>
      <c r="L58" s="97">
        <v>1</v>
      </c>
      <c r="O58" s="97">
        <v>1</v>
      </c>
      <c r="AE58" s="116" t="s">
        <v>297</v>
      </c>
      <c r="AF58" s="121">
        <f>COUNTIF(E:F,Tabell32[[#This Row],[MOTSTÅNDARE]])</f>
        <v>6</v>
      </c>
      <c r="AG58" s="121">
        <f>Tabell32[[#This Row],[MS]]+Tabell32[[#This Row],[MS2]]</f>
        <v>-10</v>
      </c>
      <c r="AH58" s="121">
        <f>SUMIF(E:E,Tabell32[[#This Row],[MOTSTÅNDARE]],I:I)</f>
        <v>-4</v>
      </c>
      <c r="AI58" s="121">
        <f>SUMIF(F:F,Tabell32[[#This Row],[MOTSTÅNDARE]],I:I)</f>
        <v>-6</v>
      </c>
      <c r="AJ58" s="124">
        <f>Tabell32[[#This Row],[MS ÅHUS IF]]/Tabell32[[#This Row],[ÅHUS MATCHER]]</f>
        <v>-1.6666666666666667</v>
      </c>
      <c r="AK58" s="121">
        <f>(Tabell32[[#This Row],[VINST]]*3)+Tabell32[[#This Row],[OAVGJORT]]</f>
        <v>4</v>
      </c>
      <c r="AL58" s="124">
        <f>Tabell32[[#This Row],[POÄNG]]/Tabell32[[#This Row],[ÅHUS MATCHER]]</f>
        <v>0.66666666666666663</v>
      </c>
      <c r="AM58" s="121">
        <f>IFERROR(Tabell32[[#This Row],[V H]]+Tabell32[[#This Row],[V B]],"0")</f>
        <v>1</v>
      </c>
      <c r="AN58" s="121">
        <f>IFERROR(Tabell32[[#This Row],[O H]]+Tabell32[[#This Row],[O B]],"0")</f>
        <v>1</v>
      </c>
      <c r="AO58" s="121">
        <f>IFERROR(Tabell32[[#This Row],[F H]]+Tabell32[[#This Row],[F B]],"0")</f>
        <v>4</v>
      </c>
      <c r="AP58" s="121">
        <f>SUMIF(MATCHHISTORIK[BORTALAG],Tabell32[[#This Row],[MOTSTÅNDARE]],MATCHHISTORIK[V])</f>
        <v>0</v>
      </c>
      <c r="AQ58" s="121">
        <f>SUMIF(MATCHHISTORIK[BORTALAG],Tabell32[[#This Row],[MOTSTÅNDARE]],MATCHHISTORIK[O])</f>
        <v>1</v>
      </c>
      <c r="AR58" s="97">
        <f>SUMIF(MATCHHISTORIK[BORTALAG],Tabell32[[#This Row],[MOTSTÅNDARE]],MATCHHISTORIK[F])</f>
        <v>2</v>
      </c>
      <c r="AS58" s="97">
        <f>SUMIF(MATCHHISTORIK[HEMMALAG],Tabell32[[#This Row],[MOTSTÅNDARE]],MATCHHISTORIK[V])</f>
        <v>1</v>
      </c>
      <c r="AT58" s="97">
        <f>SUMIF(MATCHHISTORIK[HEMMALAG],Tabell32[[#This Row],[MOTSTÅNDARE]],MATCHHISTORIK[O])</f>
        <v>0</v>
      </c>
      <c r="AU58" s="97">
        <f>SUMIF(MATCHHISTORIK[HEMMALAG],Tabell32[[#This Row],[MOTSTÅNDARE]],MATCHHISTORIK[F])</f>
        <v>2</v>
      </c>
    </row>
    <row r="59" spans="1:47" x14ac:dyDescent="0.25">
      <c r="A59" s="97">
        <v>9</v>
      </c>
      <c r="B59" s="97">
        <v>4</v>
      </c>
      <c r="C59" s="101">
        <v>2013</v>
      </c>
      <c r="D59" s="119">
        <v>41434</v>
      </c>
      <c r="E59" s="116" t="s">
        <v>254</v>
      </c>
      <c r="F59" s="116" t="s">
        <v>265</v>
      </c>
      <c r="G59" s="97">
        <v>8</v>
      </c>
      <c r="H59" s="97">
        <v>0</v>
      </c>
      <c r="I59" s="120">
        <v>8</v>
      </c>
      <c r="J59" s="97">
        <v>8</v>
      </c>
      <c r="K59" s="97">
        <v>1</v>
      </c>
      <c r="L59" s="97">
        <v>1</v>
      </c>
      <c r="M59" s="97">
        <v>1</v>
      </c>
      <c r="AE59" s="116" t="s">
        <v>328</v>
      </c>
      <c r="AF59" s="121">
        <f>COUNTIF(E:F,Tabell32[[#This Row],[MOTSTÅNDARE]])</f>
        <v>4</v>
      </c>
      <c r="AG59" s="121">
        <f>Tabell32[[#This Row],[MS]]+Tabell32[[#This Row],[MS2]]</f>
        <v>-2</v>
      </c>
      <c r="AH59" s="121">
        <f>SUMIF(E:E,Tabell32[[#This Row],[MOTSTÅNDARE]],I:I)</f>
        <v>-2</v>
      </c>
      <c r="AI59" s="121">
        <f>SUMIF(F:F,Tabell32[[#This Row],[MOTSTÅNDARE]],I:I)</f>
        <v>0</v>
      </c>
      <c r="AJ59" s="124">
        <f>Tabell32[[#This Row],[MS ÅHUS IF]]/Tabell32[[#This Row],[ÅHUS MATCHER]]</f>
        <v>-0.5</v>
      </c>
      <c r="AK59" s="121">
        <f>(Tabell32[[#This Row],[VINST]]*3)+Tabell32[[#This Row],[OAVGJORT]]</f>
        <v>3</v>
      </c>
      <c r="AL59" s="124">
        <f>Tabell32[[#This Row],[POÄNG]]/Tabell32[[#This Row],[ÅHUS MATCHER]]</f>
        <v>0.75</v>
      </c>
      <c r="AM59" s="121">
        <f>IFERROR(Tabell32[[#This Row],[V H]]+Tabell32[[#This Row],[V B]],"0")</f>
        <v>1</v>
      </c>
      <c r="AN59" s="121">
        <f>IFERROR(Tabell32[[#This Row],[O H]]+Tabell32[[#This Row],[O B]],"0")</f>
        <v>0</v>
      </c>
      <c r="AO59" s="121">
        <f>IFERROR(Tabell32[[#This Row],[F H]]+Tabell32[[#This Row],[F B]],"0")</f>
        <v>3</v>
      </c>
      <c r="AP59" s="121">
        <f>SUMIF(MATCHHISTORIK[BORTALAG],Tabell32[[#This Row],[MOTSTÅNDARE]],MATCHHISTORIK[V])</f>
        <v>1</v>
      </c>
      <c r="AQ59" s="121">
        <f>SUMIF(MATCHHISTORIK[BORTALAG],Tabell32[[#This Row],[MOTSTÅNDARE]],MATCHHISTORIK[O])</f>
        <v>0</v>
      </c>
      <c r="AR59" s="97">
        <f>SUMIF(MATCHHISTORIK[BORTALAG],Tabell32[[#This Row],[MOTSTÅNDARE]],MATCHHISTORIK[F])</f>
        <v>1</v>
      </c>
      <c r="AS59" s="97">
        <f>SUMIF(MATCHHISTORIK[HEMMALAG],Tabell32[[#This Row],[MOTSTÅNDARE]],MATCHHISTORIK[V])</f>
        <v>0</v>
      </c>
      <c r="AT59" s="97">
        <f>SUMIF(MATCHHISTORIK[HEMMALAG],Tabell32[[#This Row],[MOTSTÅNDARE]],MATCHHISTORIK[O])</f>
        <v>0</v>
      </c>
      <c r="AU59" s="97">
        <f>SUMIF(MATCHHISTORIK[HEMMALAG],Tabell32[[#This Row],[MOTSTÅNDARE]],MATCHHISTORIK[F])</f>
        <v>2</v>
      </c>
    </row>
    <row r="60" spans="1:47" x14ac:dyDescent="0.25">
      <c r="A60" s="97">
        <v>10</v>
      </c>
      <c r="B60" s="97">
        <v>4</v>
      </c>
      <c r="C60" s="101">
        <v>2013</v>
      </c>
      <c r="D60" s="119">
        <v>41441</v>
      </c>
      <c r="E60" s="116" t="s">
        <v>254</v>
      </c>
      <c r="F60" s="116" t="s">
        <v>310</v>
      </c>
      <c r="G60" s="97">
        <v>3</v>
      </c>
      <c r="H60" s="97">
        <v>1</v>
      </c>
      <c r="I60" s="120">
        <v>2</v>
      </c>
      <c r="J60" s="97">
        <v>4</v>
      </c>
      <c r="K60" s="97">
        <v>2</v>
      </c>
      <c r="L60" s="97">
        <v>1</v>
      </c>
      <c r="M60" s="97">
        <v>1</v>
      </c>
      <c r="AE60" s="116" t="s">
        <v>270</v>
      </c>
      <c r="AF60" s="121">
        <f>COUNTIF(E:F,Tabell32[[#This Row],[MOTSTÅNDARE]])</f>
        <v>5</v>
      </c>
      <c r="AG60" s="121">
        <f>Tabell32[[#This Row],[MS]]+Tabell32[[#This Row],[MS2]]</f>
        <v>-11</v>
      </c>
      <c r="AH60" s="121">
        <f>SUMIF(E:E,Tabell32[[#This Row],[MOTSTÅNDARE]],I:I)</f>
        <v>-3</v>
      </c>
      <c r="AI60" s="121">
        <f>SUMIF(F:F,Tabell32[[#This Row],[MOTSTÅNDARE]],I:I)</f>
        <v>-8</v>
      </c>
      <c r="AJ60" s="124">
        <f>Tabell32[[#This Row],[MS ÅHUS IF]]/Tabell32[[#This Row],[ÅHUS MATCHER]]</f>
        <v>-2.2000000000000002</v>
      </c>
      <c r="AK60" s="121">
        <f>(Tabell32[[#This Row],[VINST]]*3)+Tabell32[[#This Row],[OAVGJORT]]</f>
        <v>4</v>
      </c>
      <c r="AL60" s="124">
        <f>Tabell32[[#This Row],[POÄNG]]/Tabell32[[#This Row],[ÅHUS MATCHER]]</f>
        <v>0.8</v>
      </c>
      <c r="AM60" s="121">
        <f>IFERROR(Tabell32[[#This Row],[V H]]+Tabell32[[#This Row],[V B]],"0")</f>
        <v>1</v>
      </c>
      <c r="AN60" s="121">
        <f>IFERROR(Tabell32[[#This Row],[O H]]+Tabell32[[#This Row],[O B]],"0")</f>
        <v>1</v>
      </c>
      <c r="AO60" s="121">
        <f>IFERROR(Tabell32[[#This Row],[F H]]+Tabell32[[#This Row],[F B]],"0")</f>
        <v>3</v>
      </c>
      <c r="AP60" s="121">
        <f>SUMIF(MATCHHISTORIK[BORTALAG],Tabell32[[#This Row],[MOTSTÅNDARE]],MATCHHISTORIK[V])</f>
        <v>1</v>
      </c>
      <c r="AQ60" s="121">
        <f>SUMIF(MATCHHISTORIK[BORTALAG],Tabell32[[#This Row],[MOTSTÅNDARE]],MATCHHISTORIK[O])</f>
        <v>1</v>
      </c>
      <c r="AR60" s="97">
        <f>SUMIF(MATCHHISTORIK[BORTALAG],Tabell32[[#This Row],[MOTSTÅNDARE]],MATCHHISTORIK[F])</f>
        <v>1</v>
      </c>
      <c r="AS60" s="97">
        <f>SUMIF(MATCHHISTORIK[HEMMALAG],Tabell32[[#This Row],[MOTSTÅNDARE]],MATCHHISTORIK[V])</f>
        <v>0</v>
      </c>
      <c r="AT60" s="97">
        <f>SUMIF(MATCHHISTORIK[HEMMALAG],Tabell32[[#This Row],[MOTSTÅNDARE]],MATCHHISTORIK[O])</f>
        <v>0</v>
      </c>
      <c r="AU60" s="97">
        <f>SUMIF(MATCHHISTORIK[HEMMALAG],Tabell32[[#This Row],[MOTSTÅNDARE]],MATCHHISTORIK[F])</f>
        <v>2</v>
      </c>
    </row>
    <row r="61" spans="1:47" x14ac:dyDescent="0.25">
      <c r="A61" s="97">
        <v>11</v>
      </c>
      <c r="B61" s="97">
        <v>4</v>
      </c>
      <c r="C61" s="101">
        <v>2013</v>
      </c>
      <c r="D61" s="119">
        <v>41496</v>
      </c>
      <c r="E61" s="116" t="s">
        <v>257</v>
      </c>
      <c r="F61" s="116" t="s">
        <v>254</v>
      </c>
      <c r="G61" s="97">
        <v>2</v>
      </c>
      <c r="H61" s="97">
        <v>2</v>
      </c>
      <c r="I61" s="120">
        <v>0</v>
      </c>
      <c r="J61" s="97">
        <v>4</v>
      </c>
      <c r="K61" s="97">
        <v>3</v>
      </c>
      <c r="L61" s="97">
        <v>1</v>
      </c>
      <c r="N61" s="97">
        <v>1</v>
      </c>
      <c r="AE61" s="116" t="s">
        <v>324</v>
      </c>
      <c r="AF61" s="121">
        <f>COUNTIF(E:F,Tabell32[[#This Row],[MOTSTÅNDARE]])</f>
        <v>3</v>
      </c>
      <c r="AG61" s="121">
        <f>Tabell32[[#This Row],[MS]]+Tabell32[[#This Row],[MS2]]</f>
        <v>-1</v>
      </c>
      <c r="AH61" s="121">
        <f>SUMIF(E:E,Tabell32[[#This Row],[MOTSTÅNDARE]],I:I)</f>
        <v>-2</v>
      </c>
      <c r="AI61" s="121">
        <f>SUMIF(F:F,Tabell32[[#This Row],[MOTSTÅNDARE]],I:I)</f>
        <v>1</v>
      </c>
      <c r="AJ61" s="124">
        <f>Tabell32[[#This Row],[MS ÅHUS IF]]/Tabell32[[#This Row],[ÅHUS MATCHER]]</f>
        <v>-0.33333333333333331</v>
      </c>
      <c r="AK61" s="121">
        <f>(Tabell32[[#This Row],[VINST]]*3)+Tabell32[[#This Row],[OAVGJORT]]</f>
        <v>3</v>
      </c>
      <c r="AL61" s="124">
        <f>Tabell32[[#This Row],[POÄNG]]/Tabell32[[#This Row],[ÅHUS MATCHER]]</f>
        <v>1</v>
      </c>
      <c r="AM61" s="121">
        <f>IFERROR(Tabell32[[#This Row],[V H]]+Tabell32[[#This Row],[V B]],"0")</f>
        <v>1</v>
      </c>
      <c r="AN61" s="121">
        <f>IFERROR(Tabell32[[#This Row],[O H]]+Tabell32[[#This Row],[O B]],"0")</f>
        <v>0</v>
      </c>
      <c r="AO61" s="121">
        <f>IFERROR(Tabell32[[#This Row],[F H]]+Tabell32[[#This Row],[F B]],"0")</f>
        <v>2</v>
      </c>
      <c r="AP61" s="121">
        <f>SUMIF(MATCHHISTORIK[BORTALAG],Tabell32[[#This Row],[MOTSTÅNDARE]],MATCHHISTORIK[V])</f>
        <v>1</v>
      </c>
      <c r="AQ61" s="121">
        <f>SUMIF(MATCHHISTORIK[BORTALAG],Tabell32[[#This Row],[MOTSTÅNDARE]],MATCHHISTORIK[O])</f>
        <v>0</v>
      </c>
      <c r="AR61" s="97">
        <f>SUMIF(MATCHHISTORIK[BORTALAG],Tabell32[[#This Row],[MOTSTÅNDARE]],MATCHHISTORIK[F])</f>
        <v>0</v>
      </c>
      <c r="AS61" s="97">
        <f>SUMIF(MATCHHISTORIK[HEMMALAG],Tabell32[[#This Row],[MOTSTÅNDARE]],MATCHHISTORIK[V])</f>
        <v>0</v>
      </c>
      <c r="AT61" s="97">
        <f>SUMIF(MATCHHISTORIK[HEMMALAG],Tabell32[[#This Row],[MOTSTÅNDARE]],MATCHHISTORIK[O])</f>
        <v>0</v>
      </c>
      <c r="AU61" s="97">
        <f>SUMIF(MATCHHISTORIK[HEMMALAG],Tabell32[[#This Row],[MOTSTÅNDARE]],MATCHHISTORIK[F])</f>
        <v>2</v>
      </c>
    </row>
    <row r="62" spans="1:47" x14ac:dyDescent="0.25">
      <c r="A62" s="97">
        <v>12</v>
      </c>
      <c r="B62" s="97">
        <v>4</v>
      </c>
      <c r="C62" s="101">
        <v>2013</v>
      </c>
      <c r="D62" s="119">
        <v>41504</v>
      </c>
      <c r="E62" s="116" t="s">
        <v>254</v>
      </c>
      <c r="F62" s="116" t="s">
        <v>313</v>
      </c>
      <c r="G62" s="97">
        <v>3</v>
      </c>
      <c r="H62" s="97">
        <v>3</v>
      </c>
      <c r="I62" s="120">
        <v>0</v>
      </c>
      <c r="J62" s="97">
        <v>6</v>
      </c>
      <c r="K62" s="97">
        <v>4</v>
      </c>
      <c r="L62" s="97">
        <v>1</v>
      </c>
      <c r="N62" s="97">
        <v>1</v>
      </c>
      <c r="AE62" s="116" t="s">
        <v>331</v>
      </c>
      <c r="AF62" s="121">
        <f>COUNTIF(E:F,Tabell32[[#This Row],[MOTSTÅNDARE]])</f>
        <v>3</v>
      </c>
      <c r="AG62" s="121">
        <f>Tabell32[[#This Row],[MS]]+Tabell32[[#This Row],[MS2]]</f>
        <v>-8</v>
      </c>
      <c r="AH62" s="121">
        <f>SUMIF(E:E,Tabell32[[#This Row],[MOTSTÅNDARE]],I:I)</f>
        <v>-9</v>
      </c>
      <c r="AI62" s="121">
        <f>SUMIF(F:F,Tabell32[[#This Row],[MOTSTÅNDARE]],I:I)</f>
        <v>1</v>
      </c>
      <c r="AJ62" s="124">
        <f>Tabell32[[#This Row],[MS ÅHUS IF]]/Tabell32[[#This Row],[ÅHUS MATCHER]]</f>
        <v>-2.6666666666666665</v>
      </c>
      <c r="AK62" s="121">
        <f>(Tabell32[[#This Row],[VINST]]*3)+Tabell32[[#This Row],[OAVGJORT]]</f>
        <v>3</v>
      </c>
      <c r="AL62" s="124">
        <f>Tabell32[[#This Row],[POÄNG]]/Tabell32[[#This Row],[ÅHUS MATCHER]]</f>
        <v>1</v>
      </c>
      <c r="AM62" s="121">
        <f>IFERROR(Tabell32[[#This Row],[V H]]+Tabell32[[#This Row],[V B]],"0")</f>
        <v>1</v>
      </c>
      <c r="AN62" s="121">
        <f>IFERROR(Tabell32[[#This Row],[O H]]+Tabell32[[#This Row],[O B]],"0")</f>
        <v>0</v>
      </c>
      <c r="AO62" s="121">
        <f>IFERROR(Tabell32[[#This Row],[F H]]+Tabell32[[#This Row],[F B]],"0")</f>
        <v>2</v>
      </c>
      <c r="AP62" s="121">
        <f>SUMIF(MATCHHISTORIK[BORTALAG],Tabell32[[#This Row],[MOTSTÅNDARE]],MATCHHISTORIK[V])</f>
        <v>1</v>
      </c>
      <c r="AQ62" s="121">
        <f>SUMIF(MATCHHISTORIK[BORTALAG],Tabell32[[#This Row],[MOTSTÅNDARE]],MATCHHISTORIK[O])</f>
        <v>0</v>
      </c>
      <c r="AR62" s="97">
        <f>SUMIF(MATCHHISTORIK[BORTALAG],Tabell32[[#This Row],[MOTSTÅNDARE]],MATCHHISTORIK[F])</f>
        <v>0</v>
      </c>
      <c r="AS62" s="97">
        <f>SUMIF(MATCHHISTORIK[HEMMALAG],Tabell32[[#This Row],[MOTSTÅNDARE]],MATCHHISTORIK[V])</f>
        <v>0</v>
      </c>
      <c r="AT62" s="97">
        <f>SUMIF(MATCHHISTORIK[HEMMALAG],Tabell32[[#This Row],[MOTSTÅNDARE]],MATCHHISTORIK[O])</f>
        <v>0</v>
      </c>
      <c r="AU62" s="97">
        <f>SUMIF(MATCHHISTORIK[HEMMALAG],Tabell32[[#This Row],[MOTSTÅNDARE]],MATCHHISTORIK[F])</f>
        <v>2</v>
      </c>
    </row>
    <row r="63" spans="1:47" x14ac:dyDescent="0.25">
      <c r="A63" s="97">
        <v>13</v>
      </c>
      <c r="B63" s="97">
        <v>4</v>
      </c>
      <c r="C63" s="101">
        <v>2013</v>
      </c>
      <c r="D63" s="119">
        <v>41511</v>
      </c>
      <c r="E63" s="116" t="s">
        <v>315</v>
      </c>
      <c r="F63" s="116" t="s">
        <v>254</v>
      </c>
      <c r="G63" s="97">
        <v>0</v>
      </c>
      <c r="H63" s="97">
        <v>0</v>
      </c>
      <c r="I63" s="120">
        <v>0</v>
      </c>
      <c r="J63" s="97">
        <v>0</v>
      </c>
      <c r="K63" s="97">
        <v>5</v>
      </c>
      <c r="L63" s="97"/>
      <c r="N63" s="97">
        <v>1</v>
      </c>
      <c r="AE63" s="116" t="s">
        <v>308</v>
      </c>
      <c r="AF63" s="121">
        <f>COUNTIF(E:F,Tabell32[[#This Row],[MOTSTÅNDARE]])</f>
        <v>3</v>
      </c>
      <c r="AG63" s="121">
        <f>Tabell32[[#This Row],[MS]]+Tabell32[[#This Row],[MS2]]</f>
        <v>-1</v>
      </c>
      <c r="AH63" s="121">
        <f>SUMIF(E:E,Tabell32[[#This Row],[MOTSTÅNDARE]],I:I)</f>
        <v>-4</v>
      </c>
      <c r="AI63" s="121">
        <f>SUMIF(F:F,Tabell32[[#This Row],[MOTSTÅNDARE]],I:I)</f>
        <v>3</v>
      </c>
      <c r="AJ63" s="124">
        <f>Tabell32[[#This Row],[MS ÅHUS IF]]/Tabell32[[#This Row],[ÅHUS MATCHER]]</f>
        <v>-0.33333333333333331</v>
      </c>
      <c r="AK63" s="121">
        <f>(Tabell32[[#This Row],[VINST]]*3)+Tabell32[[#This Row],[OAVGJORT]]</f>
        <v>3</v>
      </c>
      <c r="AL63" s="124">
        <f>Tabell32[[#This Row],[POÄNG]]/Tabell32[[#This Row],[ÅHUS MATCHER]]</f>
        <v>1</v>
      </c>
      <c r="AM63" s="121">
        <f>IFERROR(Tabell32[[#This Row],[V H]]+Tabell32[[#This Row],[V B]],"0")</f>
        <v>1</v>
      </c>
      <c r="AN63" s="121">
        <f>IFERROR(Tabell32[[#This Row],[O H]]+Tabell32[[#This Row],[O B]],"0")</f>
        <v>0</v>
      </c>
      <c r="AO63" s="121">
        <f>IFERROR(Tabell32[[#This Row],[F H]]+Tabell32[[#This Row],[F B]],"0")</f>
        <v>2</v>
      </c>
      <c r="AP63" s="121">
        <f>SUMIF(MATCHHISTORIK[BORTALAG],Tabell32[[#This Row],[MOTSTÅNDARE]],MATCHHISTORIK[V])</f>
        <v>1</v>
      </c>
      <c r="AQ63" s="121">
        <f>SUMIF(MATCHHISTORIK[BORTALAG],Tabell32[[#This Row],[MOTSTÅNDARE]],MATCHHISTORIK[O])</f>
        <v>0</v>
      </c>
      <c r="AR63" s="97">
        <f>SUMIF(MATCHHISTORIK[BORTALAG],Tabell32[[#This Row],[MOTSTÅNDARE]],MATCHHISTORIK[F])</f>
        <v>1</v>
      </c>
      <c r="AS63" s="97">
        <f>SUMIF(MATCHHISTORIK[HEMMALAG],Tabell32[[#This Row],[MOTSTÅNDARE]],MATCHHISTORIK[V])</f>
        <v>0</v>
      </c>
      <c r="AT63" s="97">
        <f>SUMIF(MATCHHISTORIK[HEMMALAG],Tabell32[[#This Row],[MOTSTÅNDARE]],MATCHHISTORIK[O])</f>
        <v>0</v>
      </c>
      <c r="AU63" s="97">
        <f>SUMIF(MATCHHISTORIK[HEMMALAG],Tabell32[[#This Row],[MOTSTÅNDARE]],MATCHHISTORIK[F])</f>
        <v>1</v>
      </c>
    </row>
    <row r="64" spans="1:47" x14ac:dyDescent="0.25">
      <c r="A64" s="97">
        <v>18</v>
      </c>
      <c r="B64" s="97">
        <v>4</v>
      </c>
      <c r="C64" s="101">
        <v>2013</v>
      </c>
      <c r="D64" s="119">
        <v>41546</v>
      </c>
      <c r="E64" s="116" t="s">
        <v>265</v>
      </c>
      <c r="F64" s="116" t="s">
        <v>254</v>
      </c>
      <c r="G64" s="97">
        <v>1</v>
      </c>
      <c r="H64" s="97">
        <v>8</v>
      </c>
      <c r="I64" s="120">
        <v>7</v>
      </c>
      <c r="J64" s="97">
        <v>9</v>
      </c>
      <c r="K64" s="97">
        <v>6</v>
      </c>
      <c r="L64" s="97">
        <v>1</v>
      </c>
      <c r="M64" s="97">
        <v>1</v>
      </c>
      <c r="AE64" s="116" t="s">
        <v>310</v>
      </c>
      <c r="AF64" s="121">
        <f>COUNTIF(E:F,Tabell32[[#This Row],[MOTSTÅNDARE]])</f>
        <v>4</v>
      </c>
      <c r="AG64" s="121">
        <f>Tabell32[[#This Row],[MS]]+Tabell32[[#This Row],[MS2]]</f>
        <v>1</v>
      </c>
      <c r="AH64" s="121">
        <f>SUMIF(E:E,Tabell32[[#This Row],[MOTSTÅNDARE]],I:I)</f>
        <v>0</v>
      </c>
      <c r="AI64" s="121">
        <f>SUMIF(F:F,Tabell32[[#This Row],[MOTSTÅNDARE]],I:I)</f>
        <v>1</v>
      </c>
      <c r="AJ64" s="124">
        <f>Tabell32[[#This Row],[MS ÅHUS IF]]/Tabell32[[#This Row],[ÅHUS MATCHER]]</f>
        <v>0.25</v>
      </c>
      <c r="AK64" s="121">
        <f>(Tabell32[[#This Row],[VINST]]*3)+Tabell32[[#This Row],[OAVGJORT]]</f>
        <v>5</v>
      </c>
      <c r="AL64" s="124">
        <f>Tabell32[[#This Row],[POÄNG]]/Tabell32[[#This Row],[ÅHUS MATCHER]]</f>
        <v>1.25</v>
      </c>
      <c r="AM64" s="121">
        <f>IFERROR(Tabell32[[#This Row],[V H]]+Tabell32[[#This Row],[V B]],"0")</f>
        <v>1</v>
      </c>
      <c r="AN64" s="121">
        <f>IFERROR(Tabell32[[#This Row],[O H]]+Tabell32[[#This Row],[O B]],"0")</f>
        <v>2</v>
      </c>
      <c r="AO64" s="121">
        <f>IFERROR(Tabell32[[#This Row],[F H]]+Tabell32[[#This Row],[F B]],"0")</f>
        <v>1</v>
      </c>
      <c r="AP64" s="121">
        <f>SUMIF(MATCHHISTORIK[BORTALAG],Tabell32[[#This Row],[MOTSTÅNDARE]],MATCHHISTORIK[V])</f>
        <v>1</v>
      </c>
      <c r="AQ64" s="121">
        <f>SUMIF(MATCHHISTORIK[BORTALAG],Tabell32[[#This Row],[MOTSTÅNDARE]],MATCHHISTORIK[O])</f>
        <v>0</v>
      </c>
      <c r="AR64" s="97">
        <f>SUMIF(MATCHHISTORIK[BORTALAG],Tabell32[[#This Row],[MOTSTÅNDARE]],MATCHHISTORIK[F])</f>
        <v>1</v>
      </c>
      <c r="AS64" s="97">
        <f>SUMIF(MATCHHISTORIK[HEMMALAG],Tabell32[[#This Row],[MOTSTÅNDARE]],MATCHHISTORIK[V])</f>
        <v>0</v>
      </c>
      <c r="AT64" s="97">
        <f>SUMIF(MATCHHISTORIK[HEMMALAG],Tabell32[[#This Row],[MOTSTÅNDARE]],MATCHHISTORIK[O])</f>
        <v>2</v>
      </c>
      <c r="AU64" s="97">
        <f>SUMIF(MATCHHISTORIK[HEMMALAG],Tabell32[[#This Row],[MOTSTÅNDARE]],MATCHHISTORIK[F])</f>
        <v>0</v>
      </c>
    </row>
    <row r="65" spans="1:47" x14ac:dyDescent="0.25">
      <c r="A65" s="97">
        <v>2</v>
      </c>
      <c r="B65" s="97">
        <v>4</v>
      </c>
      <c r="C65" s="101">
        <v>2014</v>
      </c>
      <c r="D65" s="119">
        <v>41752</v>
      </c>
      <c r="E65" s="116" t="s">
        <v>254</v>
      </c>
      <c r="F65" s="116" t="s">
        <v>257</v>
      </c>
      <c r="G65" s="97">
        <v>3</v>
      </c>
      <c r="H65" s="97">
        <v>0</v>
      </c>
      <c r="I65" s="120">
        <v>3</v>
      </c>
      <c r="J65" s="97">
        <v>3</v>
      </c>
      <c r="K65" s="97">
        <v>7</v>
      </c>
      <c r="L65" s="97">
        <v>1</v>
      </c>
      <c r="M65" s="97">
        <v>1</v>
      </c>
      <c r="AE65" s="116" t="s">
        <v>301</v>
      </c>
      <c r="AF65" s="121">
        <f>COUNTIF(E:F,Tabell32[[#This Row],[MOTSTÅNDARE]])</f>
        <v>4</v>
      </c>
      <c r="AG65" s="121">
        <f>Tabell32[[#This Row],[MS]]+Tabell32[[#This Row],[MS2]]</f>
        <v>3</v>
      </c>
      <c r="AH65" s="121">
        <f>SUMIF(E:E,Tabell32[[#This Row],[MOTSTÅNDARE]],I:I)</f>
        <v>3</v>
      </c>
      <c r="AI65" s="121">
        <f>SUMIF(F:F,Tabell32[[#This Row],[MOTSTÅNDARE]],I:I)</f>
        <v>0</v>
      </c>
      <c r="AJ65" s="124">
        <f>Tabell32[[#This Row],[MS ÅHUS IF]]/Tabell32[[#This Row],[ÅHUS MATCHER]]</f>
        <v>0.75</v>
      </c>
      <c r="AK65" s="121">
        <f>(Tabell32[[#This Row],[VINST]]*3)+Tabell32[[#This Row],[OAVGJORT]]</f>
        <v>5</v>
      </c>
      <c r="AL65" s="124">
        <f>Tabell32[[#This Row],[POÄNG]]/Tabell32[[#This Row],[ÅHUS MATCHER]]</f>
        <v>1.25</v>
      </c>
      <c r="AM65" s="121">
        <f>IFERROR(Tabell32[[#This Row],[V H]]+Tabell32[[#This Row],[V B]],"0")</f>
        <v>1</v>
      </c>
      <c r="AN65" s="121">
        <f>IFERROR(Tabell32[[#This Row],[O H]]+Tabell32[[#This Row],[O B]],"0")</f>
        <v>2</v>
      </c>
      <c r="AO65" s="121">
        <f>IFERROR(Tabell32[[#This Row],[F H]]+Tabell32[[#This Row],[F B]],"0")</f>
        <v>1</v>
      </c>
      <c r="AP65" s="121">
        <f>SUMIF(MATCHHISTORIK[BORTALAG],Tabell32[[#This Row],[MOTSTÅNDARE]],MATCHHISTORIK[V])</f>
        <v>0</v>
      </c>
      <c r="AQ65" s="121">
        <f>SUMIF(MATCHHISTORIK[BORTALAG],Tabell32[[#This Row],[MOTSTÅNDARE]],MATCHHISTORIK[O])</f>
        <v>2</v>
      </c>
      <c r="AR65" s="97">
        <f>SUMIF(MATCHHISTORIK[BORTALAG],Tabell32[[#This Row],[MOTSTÅNDARE]],MATCHHISTORIK[F])</f>
        <v>0</v>
      </c>
      <c r="AS65" s="97">
        <f>SUMIF(MATCHHISTORIK[HEMMALAG],Tabell32[[#This Row],[MOTSTÅNDARE]],MATCHHISTORIK[V])</f>
        <v>1</v>
      </c>
      <c r="AT65" s="97">
        <f>SUMIF(MATCHHISTORIK[HEMMALAG],Tabell32[[#This Row],[MOTSTÅNDARE]],MATCHHISTORIK[O])</f>
        <v>0</v>
      </c>
      <c r="AU65" s="97">
        <f>SUMIF(MATCHHISTORIK[HEMMALAG],Tabell32[[#This Row],[MOTSTÅNDARE]],MATCHHISTORIK[F])</f>
        <v>1</v>
      </c>
    </row>
    <row r="66" spans="1:47" x14ac:dyDescent="0.25">
      <c r="A66" s="97">
        <v>3</v>
      </c>
      <c r="B66" s="97">
        <v>4</v>
      </c>
      <c r="C66" s="101">
        <v>2014</v>
      </c>
      <c r="D66" s="119">
        <v>41756</v>
      </c>
      <c r="E66" s="116" t="s">
        <v>271</v>
      </c>
      <c r="F66" s="116" t="s">
        <v>254</v>
      </c>
      <c r="G66" s="97">
        <v>0</v>
      </c>
      <c r="H66" s="97">
        <v>2</v>
      </c>
      <c r="I66" s="120">
        <v>2</v>
      </c>
      <c r="J66" s="97">
        <v>2</v>
      </c>
      <c r="K66" s="97">
        <v>8</v>
      </c>
      <c r="L66" s="97">
        <v>1</v>
      </c>
      <c r="M66" s="97">
        <v>1</v>
      </c>
      <c r="AE66" s="116" t="s">
        <v>253</v>
      </c>
      <c r="AF66" s="121">
        <f>COUNTIF(E:F,Tabell32[[#This Row],[MOTSTÅNDARE]])</f>
        <v>4</v>
      </c>
      <c r="AG66" s="121">
        <f>Tabell32[[#This Row],[MS]]+Tabell32[[#This Row],[MS2]]</f>
        <v>-3</v>
      </c>
      <c r="AH66" s="121">
        <f>SUMIF(E:E,Tabell32[[#This Row],[MOTSTÅNDARE]],I:I)</f>
        <v>-3</v>
      </c>
      <c r="AI66" s="121">
        <f>SUMIF(F:F,Tabell32[[#This Row],[MOTSTÅNDARE]],I:I)</f>
        <v>0</v>
      </c>
      <c r="AJ66" s="124">
        <f>Tabell32[[#This Row],[MS ÅHUS IF]]/Tabell32[[#This Row],[ÅHUS MATCHER]]</f>
        <v>-0.75</v>
      </c>
      <c r="AK66" s="121">
        <f>(Tabell32[[#This Row],[VINST]]*3)+Tabell32[[#This Row],[OAVGJORT]]</f>
        <v>5</v>
      </c>
      <c r="AL66" s="124">
        <f>Tabell32[[#This Row],[POÄNG]]/Tabell32[[#This Row],[ÅHUS MATCHER]]</f>
        <v>1.25</v>
      </c>
      <c r="AM66" s="121">
        <f>IFERROR(Tabell32[[#This Row],[V H]]+Tabell32[[#This Row],[V B]],"0")</f>
        <v>1</v>
      </c>
      <c r="AN66" s="121">
        <f>IFERROR(Tabell32[[#This Row],[O H]]+Tabell32[[#This Row],[O B]],"0")</f>
        <v>2</v>
      </c>
      <c r="AO66" s="121">
        <f>IFERROR(Tabell32[[#This Row],[F H]]+Tabell32[[#This Row],[F B]],"0")</f>
        <v>1</v>
      </c>
      <c r="AP66" s="121">
        <f>SUMIF(MATCHHISTORIK[BORTALAG],Tabell32[[#This Row],[MOTSTÅNDARE]],MATCHHISTORIK[V])</f>
        <v>0</v>
      </c>
      <c r="AQ66" s="121">
        <f>SUMIF(MATCHHISTORIK[BORTALAG],Tabell32[[#This Row],[MOTSTÅNDARE]],MATCHHISTORIK[O])</f>
        <v>2</v>
      </c>
      <c r="AR66" s="97">
        <f>SUMIF(MATCHHISTORIK[BORTALAG],Tabell32[[#This Row],[MOTSTÅNDARE]],MATCHHISTORIK[F])</f>
        <v>0</v>
      </c>
      <c r="AS66" s="97">
        <f>SUMIF(MATCHHISTORIK[HEMMALAG],Tabell32[[#This Row],[MOTSTÅNDARE]],MATCHHISTORIK[V])</f>
        <v>1</v>
      </c>
      <c r="AT66" s="97">
        <f>SUMIF(MATCHHISTORIK[HEMMALAG],Tabell32[[#This Row],[MOTSTÅNDARE]],MATCHHISTORIK[O])</f>
        <v>0</v>
      </c>
      <c r="AU66" s="97">
        <f>SUMIF(MATCHHISTORIK[HEMMALAG],Tabell32[[#This Row],[MOTSTÅNDARE]],MATCHHISTORIK[F])</f>
        <v>1</v>
      </c>
    </row>
    <row r="67" spans="1:47" x14ac:dyDescent="0.25">
      <c r="A67" s="97">
        <v>1</v>
      </c>
      <c r="B67" s="97">
        <v>4</v>
      </c>
      <c r="C67" s="101">
        <v>2014</v>
      </c>
      <c r="D67" s="119">
        <v>41765</v>
      </c>
      <c r="E67" s="116" t="s">
        <v>255</v>
      </c>
      <c r="F67" s="116" t="s">
        <v>254</v>
      </c>
      <c r="G67" s="97">
        <v>1</v>
      </c>
      <c r="H67" s="97">
        <v>6</v>
      </c>
      <c r="I67" s="120">
        <v>5</v>
      </c>
      <c r="J67" s="97">
        <v>7</v>
      </c>
      <c r="K67" s="97">
        <v>9</v>
      </c>
      <c r="L67" s="97">
        <v>1</v>
      </c>
      <c r="M67" s="97">
        <v>1</v>
      </c>
      <c r="AE67" s="116" t="s">
        <v>387</v>
      </c>
      <c r="AF67" s="121">
        <f>COUNTIF(E:F,Tabell32[[#This Row],[MOTSTÅNDARE]])</f>
        <v>2</v>
      </c>
      <c r="AG67" s="121">
        <f>Tabell32[[#This Row],[MS]]+Tabell32[[#This Row],[MS2]]</f>
        <v>16</v>
      </c>
      <c r="AH67" s="121">
        <f>SUMIF(E:E,Tabell32[[#This Row],[MOTSTÅNDARE]],I:I)</f>
        <v>16</v>
      </c>
      <c r="AI67" s="121">
        <f>SUMIF(F:F,Tabell32[[#This Row],[MOTSTÅNDARE]],I:I)</f>
        <v>0</v>
      </c>
      <c r="AJ67" s="124">
        <f>Tabell32[[#This Row],[MS ÅHUS IF]]/Tabell32[[#This Row],[ÅHUS MATCHER]]</f>
        <v>8</v>
      </c>
      <c r="AK67" s="121">
        <f>(Tabell32[[#This Row],[VINST]]*3)+Tabell32[[#This Row],[OAVGJORT]]</f>
        <v>3</v>
      </c>
      <c r="AL67" s="124">
        <f>Tabell32[[#This Row],[POÄNG]]/Tabell32[[#This Row],[ÅHUS MATCHER]]</f>
        <v>1.5</v>
      </c>
      <c r="AM67" s="121">
        <f>IFERROR(Tabell32[[#This Row],[V H]]+Tabell32[[#This Row],[V B]],"0")</f>
        <v>1</v>
      </c>
      <c r="AN67" s="121">
        <f>IFERROR(Tabell32[[#This Row],[O H]]+Tabell32[[#This Row],[O B]],"0")</f>
        <v>0</v>
      </c>
      <c r="AO67" s="121">
        <f>IFERROR(Tabell32[[#This Row],[F H]]+Tabell32[[#This Row],[F B]],"0")</f>
        <v>0</v>
      </c>
      <c r="AP67" s="121">
        <f>SUMIF(MATCHHISTORIK[BORTALAG],Tabell32[[#This Row],[MOTSTÅNDARE]],MATCHHISTORIK[V])</f>
        <v>0</v>
      </c>
      <c r="AQ67" s="121">
        <f>SUMIF(MATCHHISTORIK[BORTALAG],Tabell32[[#This Row],[MOTSTÅNDARE]],MATCHHISTORIK[O])</f>
        <v>0</v>
      </c>
      <c r="AR67" s="97">
        <f>SUMIF(MATCHHISTORIK[BORTALAG],Tabell32[[#This Row],[MOTSTÅNDARE]],MATCHHISTORIK[F])</f>
        <v>0</v>
      </c>
      <c r="AS67" s="97">
        <f>SUMIF(MATCHHISTORIK[HEMMALAG],Tabell32[[#This Row],[MOTSTÅNDARE]],MATCHHISTORIK[V])</f>
        <v>1</v>
      </c>
      <c r="AT67" s="97">
        <f>SUMIF(MATCHHISTORIK[HEMMALAG],Tabell32[[#This Row],[MOTSTÅNDARE]],MATCHHISTORIK[O])</f>
        <v>0</v>
      </c>
      <c r="AU67" s="97">
        <f>SUMIF(MATCHHISTORIK[HEMMALAG],Tabell32[[#This Row],[MOTSTÅNDARE]],MATCHHISTORIK[F])</f>
        <v>0</v>
      </c>
    </row>
    <row r="68" spans="1:47" x14ac:dyDescent="0.25">
      <c r="A68" s="97">
        <v>5</v>
      </c>
      <c r="B68" s="97">
        <v>4</v>
      </c>
      <c r="C68" s="101">
        <v>2014</v>
      </c>
      <c r="D68" s="119">
        <v>41770</v>
      </c>
      <c r="E68" s="116" t="s">
        <v>314</v>
      </c>
      <c r="F68" s="116" t="s">
        <v>254</v>
      </c>
      <c r="G68" s="97">
        <v>3</v>
      </c>
      <c r="H68" s="97">
        <v>4</v>
      </c>
      <c r="I68" s="120">
        <v>1</v>
      </c>
      <c r="J68" s="97">
        <v>7</v>
      </c>
      <c r="K68" s="97">
        <v>10</v>
      </c>
      <c r="L68" s="97">
        <v>1</v>
      </c>
      <c r="M68" s="97">
        <v>1</v>
      </c>
      <c r="AE68" s="116" t="s">
        <v>317</v>
      </c>
      <c r="AF68" s="121">
        <f>COUNTIF(E:F,Tabell32[[#This Row],[MOTSTÅNDARE]])</f>
        <v>2</v>
      </c>
      <c r="AG68" s="121">
        <f>Tabell32[[#This Row],[MS]]+Tabell32[[#This Row],[MS2]]</f>
        <v>1</v>
      </c>
      <c r="AH68" s="121">
        <f>SUMIF(E:E,Tabell32[[#This Row],[MOTSTÅNDARE]],I:I)</f>
        <v>-3</v>
      </c>
      <c r="AI68" s="121">
        <f>SUMIF(F:F,Tabell32[[#This Row],[MOTSTÅNDARE]],I:I)</f>
        <v>4</v>
      </c>
      <c r="AJ68" s="124">
        <f>Tabell32[[#This Row],[MS ÅHUS IF]]/Tabell32[[#This Row],[ÅHUS MATCHER]]</f>
        <v>0.5</v>
      </c>
      <c r="AK68" s="121">
        <f>(Tabell32[[#This Row],[VINST]]*3)+Tabell32[[#This Row],[OAVGJORT]]</f>
        <v>3</v>
      </c>
      <c r="AL68" s="124">
        <f>Tabell32[[#This Row],[POÄNG]]/Tabell32[[#This Row],[ÅHUS MATCHER]]</f>
        <v>1.5</v>
      </c>
      <c r="AM68" s="121">
        <f>IFERROR(Tabell32[[#This Row],[V H]]+Tabell32[[#This Row],[V B]],"0")</f>
        <v>1</v>
      </c>
      <c r="AN68" s="121">
        <f>IFERROR(Tabell32[[#This Row],[O H]]+Tabell32[[#This Row],[O B]],"0")</f>
        <v>0</v>
      </c>
      <c r="AO68" s="121">
        <f>IFERROR(Tabell32[[#This Row],[F H]]+Tabell32[[#This Row],[F B]],"0")</f>
        <v>1</v>
      </c>
      <c r="AP68" s="121">
        <f>SUMIF(MATCHHISTORIK[BORTALAG],Tabell32[[#This Row],[MOTSTÅNDARE]],MATCHHISTORIK[V])</f>
        <v>1</v>
      </c>
      <c r="AQ68" s="121">
        <f>SUMIF(MATCHHISTORIK[BORTALAG],Tabell32[[#This Row],[MOTSTÅNDARE]],MATCHHISTORIK[O])</f>
        <v>0</v>
      </c>
      <c r="AR68" s="97">
        <f>SUMIF(MATCHHISTORIK[BORTALAG],Tabell32[[#This Row],[MOTSTÅNDARE]],MATCHHISTORIK[F])</f>
        <v>0</v>
      </c>
      <c r="AS68" s="97">
        <f>SUMIF(MATCHHISTORIK[HEMMALAG],Tabell32[[#This Row],[MOTSTÅNDARE]],MATCHHISTORIK[V])</f>
        <v>0</v>
      </c>
      <c r="AT68" s="97">
        <f>SUMIF(MATCHHISTORIK[HEMMALAG],Tabell32[[#This Row],[MOTSTÅNDARE]],MATCHHISTORIK[O])</f>
        <v>0</v>
      </c>
      <c r="AU68" s="97">
        <f>SUMIF(MATCHHISTORIK[HEMMALAG],Tabell32[[#This Row],[MOTSTÅNDARE]],MATCHHISTORIK[F])</f>
        <v>1</v>
      </c>
    </row>
    <row r="69" spans="1:47" x14ac:dyDescent="0.25">
      <c r="A69" s="97">
        <v>6</v>
      </c>
      <c r="B69" s="97">
        <v>4</v>
      </c>
      <c r="C69" s="101">
        <v>2014</v>
      </c>
      <c r="D69" s="119">
        <v>41775</v>
      </c>
      <c r="E69" s="116" t="s">
        <v>258</v>
      </c>
      <c r="F69" s="116" t="s">
        <v>254</v>
      </c>
      <c r="G69" s="97">
        <v>1</v>
      </c>
      <c r="H69" s="97">
        <v>0</v>
      </c>
      <c r="I69" s="120">
        <v>-1</v>
      </c>
      <c r="J69" s="97">
        <v>1</v>
      </c>
      <c r="L69" s="97"/>
      <c r="O69" s="97">
        <v>1</v>
      </c>
      <c r="AE69" s="116" t="s">
        <v>295</v>
      </c>
      <c r="AF69" s="121">
        <f>COUNTIF(E:F,Tabell32[[#This Row],[MOTSTÅNDARE]])</f>
        <v>2</v>
      </c>
      <c r="AG69" s="121">
        <f>Tabell32[[#This Row],[MS]]+Tabell32[[#This Row],[MS2]]</f>
        <v>1</v>
      </c>
      <c r="AH69" s="121">
        <f>SUMIF(E:E,Tabell32[[#This Row],[MOTSTÅNDARE]],I:I)</f>
        <v>-1</v>
      </c>
      <c r="AI69" s="121">
        <f>SUMIF(F:F,Tabell32[[#This Row],[MOTSTÅNDARE]],I:I)</f>
        <v>2</v>
      </c>
      <c r="AJ69" s="124">
        <f>Tabell32[[#This Row],[MS ÅHUS IF]]/Tabell32[[#This Row],[ÅHUS MATCHER]]</f>
        <v>0.5</v>
      </c>
      <c r="AK69" s="121">
        <f>(Tabell32[[#This Row],[VINST]]*3)+Tabell32[[#This Row],[OAVGJORT]]</f>
        <v>3</v>
      </c>
      <c r="AL69" s="124">
        <f>Tabell32[[#This Row],[POÄNG]]/Tabell32[[#This Row],[ÅHUS MATCHER]]</f>
        <v>1.5</v>
      </c>
      <c r="AM69" s="121">
        <f>IFERROR(Tabell32[[#This Row],[V H]]+Tabell32[[#This Row],[V B]],"0")</f>
        <v>1</v>
      </c>
      <c r="AN69" s="121">
        <f>IFERROR(Tabell32[[#This Row],[O H]]+Tabell32[[#This Row],[O B]],"0")</f>
        <v>0</v>
      </c>
      <c r="AO69" s="121">
        <f>IFERROR(Tabell32[[#This Row],[F H]]+Tabell32[[#This Row],[F B]],"0")</f>
        <v>1</v>
      </c>
      <c r="AP69" s="121">
        <f>SUMIF(MATCHHISTORIK[BORTALAG],Tabell32[[#This Row],[MOTSTÅNDARE]],MATCHHISTORIK[V])</f>
        <v>1</v>
      </c>
      <c r="AQ69" s="121">
        <f>SUMIF(MATCHHISTORIK[BORTALAG],Tabell32[[#This Row],[MOTSTÅNDARE]],MATCHHISTORIK[O])</f>
        <v>0</v>
      </c>
      <c r="AR69" s="97">
        <f>SUMIF(MATCHHISTORIK[BORTALAG],Tabell32[[#This Row],[MOTSTÅNDARE]],MATCHHISTORIK[F])</f>
        <v>0</v>
      </c>
      <c r="AS69" s="97">
        <f>SUMIF(MATCHHISTORIK[HEMMALAG],Tabell32[[#This Row],[MOTSTÅNDARE]],MATCHHISTORIK[V])</f>
        <v>0</v>
      </c>
      <c r="AT69" s="97">
        <f>SUMIF(MATCHHISTORIK[HEMMALAG],Tabell32[[#This Row],[MOTSTÅNDARE]],MATCHHISTORIK[O])</f>
        <v>0</v>
      </c>
      <c r="AU69" s="97">
        <f>SUMIF(MATCHHISTORIK[HEMMALAG],Tabell32[[#This Row],[MOTSTÅNDARE]],MATCHHISTORIK[F])</f>
        <v>1</v>
      </c>
    </row>
    <row r="70" spans="1:47" x14ac:dyDescent="0.25">
      <c r="A70" s="97">
        <v>7</v>
      </c>
      <c r="B70" s="97">
        <v>4</v>
      </c>
      <c r="C70" s="101">
        <v>2014</v>
      </c>
      <c r="D70" s="119">
        <v>41784</v>
      </c>
      <c r="E70" s="116" t="s">
        <v>254</v>
      </c>
      <c r="F70" s="116" t="s">
        <v>297</v>
      </c>
      <c r="G70" s="97">
        <v>4</v>
      </c>
      <c r="H70" s="97">
        <v>4</v>
      </c>
      <c r="I70" s="120">
        <v>0</v>
      </c>
      <c r="J70" s="97">
        <v>8</v>
      </c>
      <c r="K70" s="97">
        <v>1</v>
      </c>
      <c r="L70" s="97">
        <v>1</v>
      </c>
      <c r="N70" s="97">
        <v>1</v>
      </c>
      <c r="AE70" s="116" t="s">
        <v>303</v>
      </c>
      <c r="AF70" s="121">
        <f>COUNTIF(E:F,Tabell32[[#This Row],[MOTSTÅNDARE]])</f>
        <v>2</v>
      </c>
      <c r="AG70" s="121">
        <f>Tabell32[[#This Row],[MS]]+Tabell32[[#This Row],[MS2]]</f>
        <v>4</v>
      </c>
      <c r="AH70" s="121">
        <f>SUMIF(E:E,Tabell32[[#This Row],[MOTSTÅNDARE]],I:I)</f>
        <v>0</v>
      </c>
      <c r="AI70" s="121">
        <f>SUMIF(F:F,Tabell32[[#This Row],[MOTSTÅNDARE]],I:I)</f>
        <v>4</v>
      </c>
      <c r="AJ70" s="124">
        <f>Tabell32[[#This Row],[MS ÅHUS IF]]/Tabell32[[#This Row],[ÅHUS MATCHER]]</f>
        <v>2</v>
      </c>
      <c r="AK70" s="121">
        <f>(Tabell32[[#This Row],[VINST]]*3)+Tabell32[[#This Row],[OAVGJORT]]</f>
        <v>4</v>
      </c>
      <c r="AL70" s="124">
        <f>Tabell32[[#This Row],[POÄNG]]/Tabell32[[#This Row],[ÅHUS MATCHER]]</f>
        <v>2</v>
      </c>
      <c r="AM70" s="121">
        <f>IFERROR(Tabell32[[#This Row],[V H]]+Tabell32[[#This Row],[V B]],"0")</f>
        <v>1</v>
      </c>
      <c r="AN70" s="121">
        <f>IFERROR(Tabell32[[#This Row],[O H]]+Tabell32[[#This Row],[O B]],"0")</f>
        <v>1</v>
      </c>
      <c r="AO70" s="121">
        <f>IFERROR(Tabell32[[#This Row],[F H]]+Tabell32[[#This Row],[F B]],"0")</f>
        <v>0</v>
      </c>
      <c r="AP70" s="121">
        <f>SUMIF(MATCHHISTORIK[BORTALAG],Tabell32[[#This Row],[MOTSTÅNDARE]],MATCHHISTORIK[V])</f>
        <v>1</v>
      </c>
      <c r="AQ70" s="121">
        <f>SUMIF(MATCHHISTORIK[BORTALAG],Tabell32[[#This Row],[MOTSTÅNDARE]],MATCHHISTORIK[O])</f>
        <v>0</v>
      </c>
      <c r="AR70" s="97">
        <f>SUMIF(MATCHHISTORIK[BORTALAG],Tabell32[[#This Row],[MOTSTÅNDARE]],MATCHHISTORIK[F])</f>
        <v>0</v>
      </c>
      <c r="AS70" s="97">
        <f>SUMIF(MATCHHISTORIK[HEMMALAG],Tabell32[[#This Row],[MOTSTÅNDARE]],MATCHHISTORIK[V])</f>
        <v>0</v>
      </c>
      <c r="AT70" s="97">
        <f>SUMIF(MATCHHISTORIK[HEMMALAG],Tabell32[[#This Row],[MOTSTÅNDARE]],MATCHHISTORIK[O])</f>
        <v>1</v>
      </c>
      <c r="AU70" s="97">
        <f>SUMIF(MATCHHISTORIK[HEMMALAG],Tabell32[[#This Row],[MOTSTÅNDARE]],MATCHHISTORIK[F])</f>
        <v>0</v>
      </c>
    </row>
    <row r="71" spans="1:47" x14ac:dyDescent="0.25">
      <c r="A71" s="97">
        <v>8</v>
      </c>
      <c r="B71" s="97">
        <v>4</v>
      </c>
      <c r="C71" s="101">
        <v>2014</v>
      </c>
      <c r="D71" s="119">
        <v>41791</v>
      </c>
      <c r="E71" s="116" t="s">
        <v>310</v>
      </c>
      <c r="F71" s="116" t="s">
        <v>254</v>
      </c>
      <c r="G71" s="97">
        <v>3</v>
      </c>
      <c r="H71" s="97">
        <v>3</v>
      </c>
      <c r="I71" s="120">
        <v>0</v>
      </c>
      <c r="J71" s="97">
        <v>6</v>
      </c>
      <c r="K71" s="97">
        <v>2</v>
      </c>
      <c r="L71" s="97">
        <v>1</v>
      </c>
      <c r="N71" s="97">
        <v>1</v>
      </c>
      <c r="AE71" s="116" t="s">
        <v>309</v>
      </c>
      <c r="AF71" s="121">
        <f>COUNTIF(E:F,Tabell32[[#This Row],[MOTSTÅNDARE]])</f>
        <v>2</v>
      </c>
      <c r="AG71" s="121">
        <f>Tabell32[[#This Row],[MS]]+Tabell32[[#This Row],[MS2]]</f>
        <v>2</v>
      </c>
      <c r="AH71" s="121">
        <f>SUMIF(E:E,Tabell32[[#This Row],[MOTSTÅNDARE]],I:I)</f>
        <v>0</v>
      </c>
      <c r="AI71" s="121">
        <f>SUMIF(F:F,Tabell32[[#This Row],[MOTSTÅNDARE]],I:I)</f>
        <v>2</v>
      </c>
      <c r="AJ71" s="124">
        <f>Tabell32[[#This Row],[MS ÅHUS IF]]/Tabell32[[#This Row],[ÅHUS MATCHER]]</f>
        <v>1</v>
      </c>
      <c r="AK71" s="121">
        <f>(Tabell32[[#This Row],[VINST]]*3)+Tabell32[[#This Row],[OAVGJORT]]</f>
        <v>4</v>
      </c>
      <c r="AL71" s="124">
        <f>Tabell32[[#This Row],[POÄNG]]/Tabell32[[#This Row],[ÅHUS MATCHER]]</f>
        <v>2</v>
      </c>
      <c r="AM71" s="121">
        <f>IFERROR(Tabell32[[#This Row],[V H]]+Tabell32[[#This Row],[V B]],"0")</f>
        <v>1</v>
      </c>
      <c r="AN71" s="121">
        <f>IFERROR(Tabell32[[#This Row],[O H]]+Tabell32[[#This Row],[O B]],"0")</f>
        <v>1</v>
      </c>
      <c r="AO71" s="121">
        <f>IFERROR(Tabell32[[#This Row],[F H]]+Tabell32[[#This Row],[F B]],"0")</f>
        <v>0</v>
      </c>
      <c r="AP71" s="121">
        <f>SUMIF(MATCHHISTORIK[BORTALAG],Tabell32[[#This Row],[MOTSTÅNDARE]],MATCHHISTORIK[V])</f>
        <v>1</v>
      </c>
      <c r="AQ71" s="121">
        <f>SUMIF(MATCHHISTORIK[BORTALAG],Tabell32[[#This Row],[MOTSTÅNDARE]],MATCHHISTORIK[O])</f>
        <v>0</v>
      </c>
      <c r="AR71" s="97">
        <f>SUMIF(MATCHHISTORIK[BORTALAG],Tabell32[[#This Row],[MOTSTÅNDARE]],MATCHHISTORIK[F])</f>
        <v>0</v>
      </c>
      <c r="AS71" s="97">
        <f>SUMIF(MATCHHISTORIK[HEMMALAG],Tabell32[[#This Row],[MOTSTÅNDARE]],MATCHHISTORIK[V])</f>
        <v>0</v>
      </c>
      <c r="AT71" s="97">
        <f>SUMIF(MATCHHISTORIK[HEMMALAG],Tabell32[[#This Row],[MOTSTÅNDARE]],MATCHHISTORIK[O])</f>
        <v>1</v>
      </c>
      <c r="AU71" s="97">
        <f>SUMIF(MATCHHISTORIK[HEMMALAG],Tabell32[[#This Row],[MOTSTÅNDARE]],MATCHHISTORIK[F])</f>
        <v>0</v>
      </c>
    </row>
    <row r="72" spans="1:47" x14ac:dyDescent="0.25">
      <c r="A72" s="97">
        <v>9</v>
      </c>
      <c r="B72" s="97">
        <v>4</v>
      </c>
      <c r="C72" s="101">
        <v>2014</v>
      </c>
      <c r="D72" s="119">
        <v>41797</v>
      </c>
      <c r="E72" s="116" t="s">
        <v>254</v>
      </c>
      <c r="F72" s="116" t="s">
        <v>269</v>
      </c>
      <c r="G72" s="97">
        <v>8</v>
      </c>
      <c r="H72" s="97">
        <v>0</v>
      </c>
      <c r="I72" s="120">
        <v>8</v>
      </c>
      <c r="J72" s="97">
        <v>8</v>
      </c>
      <c r="K72" s="97">
        <v>3</v>
      </c>
      <c r="L72" s="97">
        <v>1</v>
      </c>
      <c r="M72" s="97">
        <v>1</v>
      </c>
      <c r="AE72" s="116" t="s">
        <v>262</v>
      </c>
      <c r="AF72" s="121">
        <f>COUNTIF(E:F,Tabell32[[#This Row],[MOTSTÅNDARE]])</f>
        <v>2</v>
      </c>
      <c r="AG72" s="121">
        <f>Tabell32[[#This Row],[MS]]+Tabell32[[#This Row],[MS2]]</f>
        <v>1</v>
      </c>
      <c r="AH72" s="121">
        <f>SUMIF(E:E,Tabell32[[#This Row],[MOTSTÅNDARE]],I:I)</f>
        <v>0</v>
      </c>
      <c r="AI72" s="121">
        <f>SUMIF(F:F,Tabell32[[#This Row],[MOTSTÅNDARE]],I:I)</f>
        <v>1</v>
      </c>
      <c r="AJ72" s="124">
        <f>Tabell32[[#This Row],[MS ÅHUS IF]]/Tabell32[[#This Row],[ÅHUS MATCHER]]</f>
        <v>0.5</v>
      </c>
      <c r="AK72" s="121">
        <f>(Tabell32[[#This Row],[VINST]]*3)+Tabell32[[#This Row],[OAVGJORT]]</f>
        <v>4</v>
      </c>
      <c r="AL72" s="124">
        <f>Tabell32[[#This Row],[POÄNG]]/Tabell32[[#This Row],[ÅHUS MATCHER]]</f>
        <v>2</v>
      </c>
      <c r="AM72" s="121">
        <f>IFERROR(Tabell32[[#This Row],[V H]]+Tabell32[[#This Row],[V B]],"0")</f>
        <v>1</v>
      </c>
      <c r="AN72" s="121">
        <f>IFERROR(Tabell32[[#This Row],[O H]]+Tabell32[[#This Row],[O B]],"0")</f>
        <v>1</v>
      </c>
      <c r="AO72" s="121">
        <f>IFERROR(Tabell32[[#This Row],[F H]]+Tabell32[[#This Row],[F B]],"0")</f>
        <v>0</v>
      </c>
      <c r="AP72" s="121">
        <f>SUMIF(MATCHHISTORIK[BORTALAG],Tabell32[[#This Row],[MOTSTÅNDARE]],MATCHHISTORIK[V])</f>
        <v>1</v>
      </c>
      <c r="AQ72" s="121">
        <f>SUMIF(MATCHHISTORIK[BORTALAG],Tabell32[[#This Row],[MOTSTÅNDARE]],MATCHHISTORIK[O])</f>
        <v>0</v>
      </c>
      <c r="AR72" s="97">
        <f>SUMIF(MATCHHISTORIK[BORTALAG],Tabell32[[#This Row],[MOTSTÅNDARE]],MATCHHISTORIK[F])</f>
        <v>0</v>
      </c>
      <c r="AS72" s="97">
        <f>SUMIF(MATCHHISTORIK[HEMMALAG],Tabell32[[#This Row],[MOTSTÅNDARE]],MATCHHISTORIK[V])</f>
        <v>0</v>
      </c>
      <c r="AT72" s="97">
        <f>SUMIF(MATCHHISTORIK[HEMMALAG],Tabell32[[#This Row],[MOTSTÅNDARE]],MATCHHISTORIK[O])</f>
        <v>1</v>
      </c>
      <c r="AU72" s="97">
        <f>SUMIF(MATCHHISTORIK[HEMMALAG],Tabell32[[#This Row],[MOTSTÅNDARE]],MATCHHISTORIK[F])</f>
        <v>0</v>
      </c>
    </row>
    <row r="73" spans="1:47" x14ac:dyDescent="0.25">
      <c r="A73" s="97">
        <v>10</v>
      </c>
      <c r="B73" s="97">
        <v>4</v>
      </c>
      <c r="C73" s="101">
        <v>2014</v>
      </c>
      <c r="D73" s="119">
        <v>41805</v>
      </c>
      <c r="E73" s="116" t="s">
        <v>254</v>
      </c>
      <c r="F73" s="116" t="s">
        <v>255</v>
      </c>
      <c r="G73" s="97">
        <v>14</v>
      </c>
      <c r="H73" s="97">
        <v>0</v>
      </c>
      <c r="I73" s="120">
        <v>14</v>
      </c>
      <c r="J73" s="97">
        <v>14</v>
      </c>
      <c r="K73" s="97">
        <v>4</v>
      </c>
      <c r="L73" s="97">
        <v>1</v>
      </c>
      <c r="M73" s="97">
        <v>1</v>
      </c>
      <c r="AE73" s="116" t="s">
        <v>318</v>
      </c>
      <c r="AF73" s="121">
        <f>COUNTIF(E:F,Tabell32[[#This Row],[MOTSTÅNDARE]])</f>
        <v>2</v>
      </c>
      <c r="AG73" s="121">
        <f>Tabell32[[#This Row],[MS]]+Tabell32[[#This Row],[MS2]]</f>
        <v>1</v>
      </c>
      <c r="AH73" s="121">
        <f>SUMIF(E:E,Tabell32[[#This Row],[MOTSTÅNDARE]],I:I)</f>
        <v>0</v>
      </c>
      <c r="AI73" s="121">
        <f>SUMIF(F:F,Tabell32[[#This Row],[MOTSTÅNDARE]],I:I)</f>
        <v>1</v>
      </c>
      <c r="AJ73" s="124">
        <f>Tabell32[[#This Row],[MS ÅHUS IF]]/Tabell32[[#This Row],[ÅHUS MATCHER]]</f>
        <v>0.5</v>
      </c>
      <c r="AK73" s="121">
        <f>(Tabell32[[#This Row],[VINST]]*3)+Tabell32[[#This Row],[OAVGJORT]]</f>
        <v>4</v>
      </c>
      <c r="AL73" s="124">
        <f>Tabell32[[#This Row],[POÄNG]]/Tabell32[[#This Row],[ÅHUS MATCHER]]</f>
        <v>2</v>
      </c>
      <c r="AM73" s="121">
        <f>IFERROR(Tabell32[[#This Row],[V H]]+Tabell32[[#This Row],[V B]],"0")</f>
        <v>1</v>
      </c>
      <c r="AN73" s="121">
        <f>IFERROR(Tabell32[[#This Row],[O H]]+Tabell32[[#This Row],[O B]],"0")</f>
        <v>1</v>
      </c>
      <c r="AO73" s="121">
        <f>IFERROR(Tabell32[[#This Row],[F H]]+Tabell32[[#This Row],[F B]],"0")</f>
        <v>0</v>
      </c>
      <c r="AP73" s="121">
        <f>SUMIF(MATCHHISTORIK[BORTALAG],Tabell32[[#This Row],[MOTSTÅNDARE]],MATCHHISTORIK[V])</f>
        <v>1</v>
      </c>
      <c r="AQ73" s="121">
        <f>SUMIF(MATCHHISTORIK[BORTALAG],Tabell32[[#This Row],[MOTSTÅNDARE]],MATCHHISTORIK[O])</f>
        <v>0</v>
      </c>
      <c r="AR73" s="97">
        <f>SUMIF(MATCHHISTORIK[BORTALAG],Tabell32[[#This Row],[MOTSTÅNDARE]],MATCHHISTORIK[F])</f>
        <v>0</v>
      </c>
      <c r="AS73" s="97">
        <f>SUMIF(MATCHHISTORIK[HEMMALAG],Tabell32[[#This Row],[MOTSTÅNDARE]],MATCHHISTORIK[V])</f>
        <v>0</v>
      </c>
      <c r="AT73" s="97">
        <f>SUMIF(MATCHHISTORIK[HEMMALAG],Tabell32[[#This Row],[MOTSTÅNDARE]],MATCHHISTORIK[O])</f>
        <v>1</v>
      </c>
      <c r="AU73" s="97">
        <f>SUMIF(MATCHHISTORIK[HEMMALAG],Tabell32[[#This Row],[MOTSTÅNDARE]],MATCHHISTORIK[F])</f>
        <v>0</v>
      </c>
    </row>
    <row r="74" spans="1:47" x14ac:dyDescent="0.25">
      <c r="A74" s="97">
        <v>11</v>
      </c>
      <c r="B74" s="97">
        <v>4</v>
      </c>
      <c r="C74" s="101">
        <v>2014</v>
      </c>
      <c r="D74" s="119">
        <v>41809</v>
      </c>
      <c r="E74" s="116" t="s">
        <v>257</v>
      </c>
      <c r="F74" s="116" t="s">
        <v>254</v>
      </c>
      <c r="G74" s="97">
        <v>0</v>
      </c>
      <c r="H74" s="97">
        <v>0</v>
      </c>
      <c r="I74" s="120">
        <v>0</v>
      </c>
      <c r="J74" s="97">
        <v>0</v>
      </c>
      <c r="K74" s="97">
        <v>5</v>
      </c>
      <c r="L74" s="97"/>
      <c r="N74" s="97">
        <v>1</v>
      </c>
      <c r="AE74" s="116" t="s">
        <v>319</v>
      </c>
      <c r="AF74" s="121">
        <f>COUNTIF(E:F,Tabell32[[#This Row],[MOTSTÅNDARE]])</f>
        <v>2</v>
      </c>
      <c r="AG74" s="121">
        <f>Tabell32[[#This Row],[MS]]+Tabell32[[#This Row],[MS2]]</f>
        <v>1</v>
      </c>
      <c r="AH74" s="121">
        <f>SUMIF(E:E,Tabell32[[#This Row],[MOTSTÅNDARE]],I:I)</f>
        <v>1</v>
      </c>
      <c r="AI74" s="121">
        <f>SUMIF(F:F,Tabell32[[#This Row],[MOTSTÅNDARE]],I:I)</f>
        <v>0</v>
      </c>
      <c r="AJ74" s="124">
        <f>Tabell32[[#This Row],[MS ÅHUS IF]]/Tabell32[[#This Row],[ÅHUS MATCHER]]</f>
        <v>0.5</v>
      </c>
      <c r="AK74" s="121">
        <f>(Tabell32[[#This Row],[VINST]]*3)+Tabell32[[#This Row],[OAVGJORT]]</f>
        <v>4</v>
      </c>
      <c r="AL74" s="124">
        <f>Tabell32[[#This Row],[POÄNG]]/Tabell32[[#This Row],[ÅHUS MATCHER]]</f>
        <v>2</v>
      </c>
      <c r="AM74" s="121">
        <f>IFERROR(Tabell32[[#This Row],[V H]]+Tabell32[[#This Row],[V B]],"0")</f>
        <v>1</v>
      </c>
      <c r="AN74" s="121">
        <f>IFERROR(Tabell32[[#This Row],[O H]]+Tabell32[[#This Row],[O B]],"0")</f>
        <v>1</v>
      </c>
      <c r="AO74" s="121">
        <f>IFERROR(Tabell32[[#This Row],[F H]]+Tabell32[[#This Row],[F B]],"0")</f>
        <v>0</v>
      </c>
      <c r="AP74" s="121">
        <f>SUMIF(MATCHHISTORIK[BORTALAG],Tabell32[[#This Row],[MOTSTÅNDARE]],MATCHHISTORIK[V])</f>
        <v>0</v>
      </c>
      <c r="AQ74" s="121">
        <f>SUMIF(MATCHHISTORIK[BORTALAG],Tabell32[[#This Row],[MOTSTÅNDARE]],MATCHHISTORIK[O])</f>
        <v>1</v>
      </c>
      <c r="AR74" s="97">
        <f>SUMIF(MATCHHISTORIK[BORTALAG],Tabell32[[#This Row],[MOTSTÅNDARE]],MATCHHISTORIK[F])</f>
        <v>0</v>
      </c>
      <c r="AS74" s="97">
        <f>SUMIF(MATCHHISTORIK[HEMMALAG],Tabell32[[#This Row],[MOTSTÅNDARE]],MATCHHISTORIK[V])</f>
        <v>1</v>
      </c>
      <c r="AT74" s="97">
        <f>SUMIF(MATCHHISTORIK[HEMMALAG],Tabell32[[#This Row],[MOTSTÅNDARE]],MATCHHISTORIK[O])</f>
        <v>0</v>
      </c>
      <c r="AU74" s="97">
        <f>SUMIF(MATCHHISTORIK[HEMMALAG],Tabell32[[#This Row],[MOTSTÅNDARE]],MATCHHISTORIK[F])</f>
        <v>0</v>
      </c>
    </row>
    <row r="75" spans="1:47" x14ac:dyDescent="0.25">
      <c r="A75" s="97">
        <v>12</v>
      </c>
      <c r="B75" s="97">
        <v>4</v>
      </c>
      <c r="C75" s="101">
        <v>2014</v>
      </c>
      <c r="D75" s="119">
        <v>41868</v>
      </c>
      <c r="E75" s="116" t="s">
        <v>254</v>
      </c>
      <c r="F75" s="116" t="s">
        <v>271</v>
      </c>
      <c r="G75" s="97">
        <v>4</v>
      </c>
      <c r="H75" s="97">
        <v>1</v>
      </c>
      <c r="I75" s="120">
        <v>3</v>
      </c>
      <c r="J75" s="97">
        <v>5</v>
      </c>
      <c r="K75" s="97">
        <v>6</v>
      </c>
      <c r="L75" s="97">
        <v>1</v>
      </c>
      <c r="M75" s="97">
        <v>1</v>
      </c>
      <c r="AE75" s="116" t="s">
        <v>345</v>
      </c>
      <c r="AF75" s="121">
        <f>COUNTIF(E:F,Tabell32[[#This Row],[MOTSTÅNDARE]])</f>
        <v>1</v>
      </c>
      <c r="AG75" s="121">
        <f>Tabell32[[#This Row],[MS]]+Tabell32[[#This Row],[MS2]]</f>
        <v>9</v>
      </c>
      <c r="AH75" s="121">
        <f>SUMIF(E:E,Tabell32[[#This Row],[MOTSTÅNDARE]],I:I)</f>
        <v>0</v>
      </c>
      <c r="AI75" s="121">
        <f>SUMIF(F:F,Tabell32[[#This Row],[MOTSTÅNDARE]],I:I)</f>
        <v>9</v>
      </c>
      <c r="AJ75" s="124">
        <f>Tabell32[[#This Row],[MS ÅHUS IF]]/Tabell32[[#This Row],[ÅHUS MATCHER]]</f>
        <v>9</v>
      </c>
      <c r="AK75" s="121">
        <f>(Tabell32[[#This Row],[VINST]]*3)+Tabell32[[#This Row],[OAVGJORT]]</f>
        <v>3</v>
      </c>
      <c r="AL75" s="124">
        <f>Tabell32[[#This Row],[POÄNG]]/Tabell32[[#This Row],[ÅHUS MATCHER]]</f>
        <v>3</v>
      </c>
      <c r="AM75" s="121">
        <f>IFERROR(Tabell32[[#This Row],[V H]]+Tabell32[[#This Row],[V B]],"0")</f>
        <v>1</v>
      </c>
      <c r="AN75" s="121">
        <f>IFERROR(Tabell32[[#This Row],[O H]]+Tabell32[[#This Row],[O B]],"0")</f>
        <v>0</v>
      </c>
      <c r="AO75" s="121">
        <f>IFERROR(Tabell32[[#This Row],[F H]]+Tabell32[[#This Row],[F B]],"0")</f>
        <v>0</v>
      </c>
      <c r="AP75" s="121">
        <f>SUMIF(MATCHHISTORIK[BORTALAG],Tabell32[[#This Row],[MOTSTÅNDARE]],MATCHHISTORIK[V])</f>
        <v>1</v>
      </c>
      <c r="AQ75" s="121">
        <f>SUMIF(MATCHHISTORIK[BORTALAG],Tabell32[[#This Row],[MOTSTÅNDARE]],MATCHHISTORIK[O])</f>
        <v>0</v>
      </c>
      <c r="AR75" s="97">
        <f>SUMIF(MATCHHISTORIK[BORTALAG],Tabell32[[#This Row],[MOTSTÅNDARE]],MATCHHISTORIK[F])</f>
        <v>0</v>
      </c>
      <c r="AS75" s="97">
        <f>SUMIF(MATCHHISTORIK[HEMMALAG],Tabell32[[#This Row],[MOTSTÅNDARE]],MATCHHISTORIK[V])</f>
        <v>0</v>
      </c>
      <c r="AT75" s="97">
        <f>SUMIF(MATCHHISTORIK[HEMMALAG],Tabell32[[#This Row],[MOTSTÅNDARE]],MATCHHISTORIK[O])</f>
        <v>0</v>
      </c>
      <c r="AU75" s="97">
        <f>SUMIF(MATCHHISTORIK[HEMMALAG],Tabell32[[#This Row],[MOTSTÅNDARE]],MATCHHISTORIK[F])</f>
        <v>0</v>
      </c>
    </row>
    <row r="76" spans="1:47" x14ac:dyDescent="0.25">
      <c r="A76" s="97">
        <v>14</v>
      </c>
      <c r="B76" s="97">
        <v>4</v>
      </c>
      <c r="C76" s="101">
        <v>2014</v>
      </c>
      <c r="D76" s="119">
        <v>41882</v>
      </c>
      <c r="E76" s="116" t="s">
        <v>254</v>
      </c>
      <c r="F76" s="116" t="s">
        <v>314</v>
      </c>
      <c r="G76" s="97">
        <v>2</v>
      </c>
      <c r="H76" s="97">
        <v>4</v>
      </c>
      <c r="I76" s="120">
        <v>-2</v>
      </c>
      <c r="J76" s="97">
        <v>6</v>
      </c>
      <c r="L76" s="97">
        <v>1</v>
      </c>
      <c r="O76" s="97">
        <v>1</v>
      </c>
      <c r="AE76" s="116" t="s">
        <v>285</v>
      </c>
      <c r="AF76" s="121">
        <f>COUNTIF(E:F,Tabell32[[#This Row],[MOTSTÅNDARE]])</f>
        <v>1</v>
      </c>
      <c r="AG76" s="121">
        <f>Tabell32[[#This Row],[MS]]+Tabell32[[#This Row],[MS2]]</f>
        <v>9</v>
      </c>
      <c r="AH76" s="121">
        <f>SUMIF(E:E,Tabell32[[#This Row],[MOTSTÅNDARE]],I:I)</f>
        <v>0</v>
      </c>
      <c r="AI76" s="121">
        <f>SUMIF(F:F,Tabell32[[#This Row],[MOTSTÅNDARE]],I:I)</f>
        <v>9</v>
      </c>
      <c r="AJ76" s="124">
        <f>Tabell32[[#This Row],[MS ÅHUS IF]]/Tabell32[[#This Row],[ÅHUS MATCHER]]</f>
        <v>9</v>
      </c>
      <c r="AK76" s="121">
        <f>(Tabell32[[#This Row],[VINST]]*3)+Tabell32[[#This Row],[OAVGJORT]]</f>
        <v>3</v>
      </c>
      <c r="AL76" s="124">
        <f>Tabell32[[#This Row],[POÄNG]]/Tabell32[[#This Row],[ÅHUS MATCHER]]</f>
        <v>3</v>
      </c>
      <c r="AM76" s="121">
        <f>IFERROR(Tabell32[[#This Row],[V H]]+Tabell32[[#This Row],[V B]],"0")</f>
        <v>1</v>
      </c>
      <c r="AN76" s="121">
        <f>IFERROR(Tabell32[[#This Row],[O H]]+Tabell32[[#This Row],[O B]],"0")</f>
        <v>0</v>
      </c>
      <c r="AO76" s="121">
        <f>IFERROR(Tabell32[[#This Row],[F H]]+Tabell32[[#This Row],[F B]],"0")</f>
        <v>0</v>
      </c>
      <c r="AP76" s="121">
        <f>SUMIF(MATCHHISTORIK[BORTALAG],Tabell32[[#This Row],[MOTSTÅNDARE]],MATCHHISTORIK[V])</f>
        <v>1</v>
      </c>
      <c r="AQ76" s="121">
        <f>SUMIF(MATCHHISTORIK[BORTALAG],Tabell32[[#This Row],[MOTSTÅNDARE]],MATCHHISTORIK[O])</f>
        <v>0</v>
      </c>
      <c r="AR76" s="97">
        <f>SUMIF(MATCHHISTORIK[BORTALAG],Tabell32[[#This Row],[MOTSTÅNDARE]],MATCHHISTORIK[F])</f>
        <v>0</v>
      </c>
      <c r="AS76" s="97">
        <f>SUMIF(MATCHHISTORIK[HEMMALAG],Tabell32[[#This Row],[MOTSTÅNDARE]],MATCHHISTORIK[V])</f>
        <v>0</v>
      </c>
      <c r="AT76" s="97">
        <f>SUMIF(MATCHHISTORIK[HEMMALAG],Tabell32[[#This Row],[MOTSTÅNDARE]],MATCHHISTORIK[O])</f>
        <v>0</v>
      </c>
      <c r="AU76" s="97">
        <f>SUMIF(MATCHHISTORIK[HEMMALAG],Tabell32[[#This Row],[MOTSTÅNDARE]],MATCHHISTORIK[F])</f>
        <v>0</v>
      </c>
    </row>
    <row r="77" spans="1:47" x14ac:dyDescent="0.25">
      <c r="A77" s="97">
        <v>15</v>
      </c>
      <c r="B77" s="97">
        <v>4</v>
      </c>
      <c r="C77" s="101">
        <v>2014</v>
      </c>
      <c r="D77" s="119">
        <v>41889</v>
      </c>
      <c r="E77" s="116" t="s">
        <v>254</v>
      </c>
      <c r="F77" s="116" t="s">
        <v>258</v>
      </c>
      <c r="G77" s="97">
        <v>0</v>
      </c>
      <c r="H77" s="97">
        <v>3</v>
      </c>
      <c r="I77" s="120">
        <v>-3</v>
      </c>
      <c r="J77" s="97">
        <v>3</v>
      </c>
      <c r="L77" s="97"/>
      <c r="O77" s="97">
        <v>1</v>
      </c>
      <c r="AE77" s="116" t="s">
        <v>336</v>
      </c>
      <c r="AF77" s="121">
        <f>COUNTIF(E:F,Tabell32[[#This Row],[MOTSTÅNDARE]])</f>
        <v>1</v>
      </c>
      <c r="AG77" s="121">
        <f>Tabell32[[#This Row],[MS]]+Tabell32[[#This Row],[MS2]]</f>
        <v>8</v>
      </c>
      <c r="AH77" s="121">
        <f>SUMIF(E:E,Tabell32[[#This Row],[MOTSTÅNDARE]],I:I)</f>
        <v>0</v>
      </c>
      <c r="AI77" s="121">
        <f>SUMIF(F:F,Tabell32[[#This Row],[MOTSTÅNDARE]],I:I)</f>
        <v>8</v>
      </c>
      <c r="AJ77" s="124">
        <f>Tabell32[[#This Row],[MS ÅHUS IF]]/Tabell32[[#This Row],[ÅHUS MATCHER]]</f>
        <v>8</v>
      </c>
      <c r="AK77" s="121">
        <f>(Tabell32[[#This Row],[VINST]]*3)+Tabell32[[#This Row],[OAVGJORT]]</f>
        <v>3</v>
      </c>
      <c r="AL77" s="124">
        <f>Tabell32[[#This Row],[POÄNG]]/Tabell32[[#This Row],[ÅHUS MATCHER]]</f>
        <v>3</v>
      </c>
      <c r="AM77" s="121">
        <f>IFERROR(Tabell32[[#This Row],[V H]]+Tabell32[[#This Row],[V B]],"0")</f>
        <v>1</v>
      </c>
      <c r="AN77" s="121">
        <f>IFERROR(Tabell32[[#This Row],[O H]]+Tabell32[[#This Row],[O B]],"0")</f>
        <v>0</v>
      </c>
      <c r="AO77" s="121">
        <f>IFERROR(Tabell32[[#This Row],[F H]]+Tabell32[[#This Row],[F B]],"0")</f>
        <v>0</v>
      </c>
      <c r="AP77" s="121">
        <f>SUMIF(MATCHHISTORIK[BORTALAG],Tabell32[[#This Row],[MOTSTÅNDARE]],MATCHHISTORIK[V])</f>
        <v>1</v>
      </c>
      <c r="AQ77" s="121">
        <f>SUMIF(MATCHHISTORIK[BORTALAG],Tabell32[[#This Row],[MOTSTÅNDARE]],MATCHHISTORIK[O])</f>
        <v>0</v>
      </c>
      <c r="AR77" s="97">
        <f>SUMIF(MATCHHISTORIK[BORTALAG],Tabell32[[#This Row],[MOTSTÅNDARE]],MATCHHISTORIK[F])</f>
        <v>0</v>
      </c>
      <c r="AS77" s="97">
        <f>SUMIF(MATCHHISTORIK[HEMMALAG],Tabell32[[#This Row],[MOTSTÅNDARE]],MATCHHISTORIK[V])</f>
        <v>0</v>
      </c>
      <c r="AT77" s="97">
        <f>SUMIF(MATCHHISTORIK[HEMMALAG],Tabell32[[#This Row],[MOTSTÅNDARE]],MATCHHISTORIK[O])</f>
        <v>0</v>
      </c>
      <c r="AU77" s="97">
        <f>SUMIF(MATCHHISTORIK[HEMMALAG],Tabell32[[#This Row],[MOTSTÅNDARE]],MATCHHISTORIK[F])</f>
        <v>0</v>
      </c>
    </row>
    <row r="78" spans="1:47" x14ac:dyDescent="0.25">
      <c r="A78" s="97">
        <v>16</v>
      </c>
      <c r="B78" s="97">
        <v>4</v>
      </c>
      <c r="C78" s="101">
        <v>2014</v>
      </c>
      <c r="D78" s="119">
        <v>41896</v>
      </c>
      <c r="E78" s="116" t="s">
        <v>297</v>
      </c>
      <c r="F78" s="116" t="s">
        <v>254</v>
      </c>
      <c r="G78" s="97">
        <v>7</v>
      </c>
      <c r="H78" s="97">
        <v>3</v>
      </c>
      <c r="I78" s="120">
        <v>-4</v>
      </c>
      <c r="J78" s="97">
        <v>10</v>
      </c>
      <c r="L78" s="97">
        <v>1</v>
      </c>
      <c r="O78" s="97">
        <v>1</v>
      </c>
      <c r="AE78" s="116" t="s">
        <v>296</v>
      </c>
      <c r="AF78" s="121">
        <f>COUNTIF(E:F,Tabell32[[#This Row],[MOTSTÅNDARE]])</f>
        <v>1</v>
      </c>
      <c r="AG78" s="121">
        <f>Tabell32[[#This Row],[MS]]+Tabell32[[#This Row],[MS2]]</f>
        <v>5</v>
      </c>
      <c r="AH78" s="121">
        <f>SUMIF(E:E,Tabell32[[#This Row],[MOTSTÅNDARE]],I:I)</f>
        <v>5</v>
      </c>
      <c r="AI78" s="121">
        <f>SUMIF(F:F,Tabell32[[#This Row],[MOTSTÅNDARE]],I:I)</f>
        <v>0</v>
      </c>
      <c r="AJ78" s="124">
        <f>Tabell32[[#This Row],[MS ÅHUS IF]]/Tabell32[[#This Row],[ÅHUS MATCHER]]</f>
        <v>5</v>
      </c>
      <c r="AK78" s="121">
        <f>(Tabell32[[#This Row],[VINST]]*3)+Tabell32[[#This Row],[OAVGJORT]]</f>
        <v>3</v>
      </c>
      <c r="AL78" s="124">
        <f>Tabell32[[#This Row],[POÄNG]]/Tabell32[[#This Row],[ÅHUS MATCHER]]</f>
        <v>3</v>
      </c>
      <c r="AM78" s="121">
        <f>IFERROR(Tabell32[[#This Row],[V H]]+Tabell32[[#This Row],[V B]],"0")</f>
        <v>1</v>
      </c>
      <c r="AN78" s="121">
        <f>IFERROR(Tabell32[[#This Row],[O H]]+Tabell32[[#This Row],[O B]],"0")</f>
        <v>0</v>
      </c>
      <c r="AO78" s="121">
        <f>IFERROR(Tabell32[[#This Row],[F H]]+Tabell32[[#This Row],[F B]],"0")</f>
        <v>0</v>
      </c>
      <c r="AP78" s="121">
        <f>SUMIF(MATCHHISTORIK[BORTALAG],Tabell32[[#This Row],[MOTSTÅNDARE]],MATCHHISTORIK[V])</f>
        <v>0</v>
      </c>
      <c r="AQ78" s="121">
        <f>SUMIF(MATCHHISTORIK[BORTALAG],Tabell32[[#This Row],[MOTSTÅNDARE]],MATCHHISTORIK[O])</f>
        <v>0</v>
      </c>
      <c r="AR78" s="97">
        <f>SUMIF(MATCHHISTORIK[BORTALAG],Tabell32[[#This Row],[MOTSTÅNDARE]],MATCHHISTORIK[F])</f>
        <v>0</v>
      </c>
      <c r="AS78" s="97">
        <f>SUMIF(MATCHHISTORIK[HEMMALAG],Tabell32[[#This Row],[MOTSTÅNDARE]],MATCHHISTORIK[V])</f>
        <v>1</v>
      </c>
      <c r="AT78" s="97">
        <f>SUMIF(MATCHHISTORIK[HEMMALAG],Tabell32[[#This Row],[MOTSTÅNDARE]],MATCHHISTORIK[O])</f>
        <v>0</v>
      </c>
      <c r="AU78" s="97">
        <f>SUMIF(MATCHHISTORIK[HEMMALAG],Tabell32[[#This Row],[MOTSTÅNDARE]],MATCHHISTORIK[F])</f>
        <v>0</v>
      </c>
    </row>
    <row r="79" spans="1:47" x14ac:dyDescent="0.25">
      <c r="A79" s="97">
        <v>17</v>
      </c>
      <c r="B79" s="97">
        <v>4</v>
      </c>
      <c r="C79" s="101">
        <v>2014</v>
      </c>
      <c r="D79" s="119">
        <v>41903</v>
      </c>
      <c r="E79" s="116" t="s">
        <v>254</v>
      </c>
      <c r="F79" s="116" t="s">
        <v>310</v>
      </c>
      <c r="G79" s="97">
        <v>2</v>
      </c>
      <c r="H79" s="97">
        <v>3</v>
      </c>
      <c r="I79" s="120">
        <v>-1</v>
      </c>
      <c r="J79" s="97">
        <v>5</v>
      </c>
      <c r="L79" s="97">
        <v>1</v>
      </c>
      <c r="O79" s="97">
        <v>1</v>
      </c>
      <c r="AE79" s="116" t="s">
        <v>349</v>
      </c>
      <c r="AF79" s="121">
        <f>COUNTIF(E:F,Tabell32[[#This Row],[MOTSTÅNDARE]])</f>
        <v>1</v>
      </c>
      <c r="AG79" s="121">
        <f>Tabell32[[#This Row],[MS]]+Tabell32[[#This Row],[MS2]]</f>
        <v>5</v>
      </c>
      <c r="AH79" s="121">
        <f>SUMIF(E:E,Tabell32[[#This Row],[MOTSTÅNDARE]],I:I)</f>
        <v>5</v>
      </c>
      <c r="AI79" s="121">
        <f>SUMIF(F:F,Tabell32[[#This Row],[MOTSTÅNDARE]],I:I)</f>
        <v>0</v>
      </c>
      <c r="AJ79" s="124">
        <f>Tabell32[[#This Row],[MS ÅHUS IF]]/Tabell32[[#This Row],[ÅHUS MATCHER]]</f>
        <v>5</v>
      </c>
      <c r="AK79" s="121">
        <f>(Tabell32[[#This Row],[VINST]]*3)+Tabell32[[#This Row],[OAVGJORT]]</f>
        <v>3</v>
      </c>
      <c r="AL79" s="124">
        <f>Tabell32[[#This Row],[POÄNG]]/Tabell32[[#This Row],[ÅHUS MATCHER]]</f>
        <v>3</v>
      </c>
      <c r="AM79" s="121">
        <f>IFERROR(Tabell32[[#This Row],[V H]]+Tabell32[[#This Row],[V B]],"0")</f>
        <v>1</v>
      </c>
      <c r="AN79" s="121">
        <f>IFERROR(Tabell32[[#This Row],[O H]]+Tabell32[[#This Row],[O B]],"0")</f>
        <v>0</v>
      </c>
      <c r="AO79" s="121">
        <f>IFERROR(Tabell32[[#This Row],[F H]]+Tabell32[[#This Row],[F B]],"0")</f>
        <v>0</v>
      </c>
      <c r="AP79" s="121">
        <f>SUMIF(MATCHHISTORIK[BORTALAG],Tabell32[[#This Row],[MOTSTÅNDARE]],MATCHHISTORIK[V])</f>
        <v>0</v>
      </c>
      <c r="AQ79" s="121">
        <f>SUMIF(MATCHHISTORIK[BORTALAG],Tabell32[[#This Row],[MOTSTÅNDARE]],MATCHHISTORIK[O])</f>
        <v>0</v>
      </c>
      <c r="AR79" s="97">
        <f>SUMIF(MATCHHISTORIK[BORTALAG],Tabell32[[#This Row],[MOTSTÅNDARE]],MATCHHISTORIK[F])</f>
        <v>0</v>
      </c>
      <c r="AS79" s="97">
        <f>SUMIF(MATCHHISTORIK[HEMMALAG],Tabell32[[#This Row],[MOTSTÅNDARE]],MATCHHISTORIK[V])</f>
        <v>1</v>
      </c>
      <c r="AT79" s="97">
        <f>SUMIF(MATCHHISTORIK[HEMMALAG],Tabell32[[#This Row],[MOTSTÅNDARE]],MATCHHISTORIK[O])</f>
        <v>0</v>
      </c>
      <c r="AU79" s="97">
        <f>SUMIF(MATCHHISTORIK[HEMMALAG],Tabell32[[#This Row],[MOTSTÅNDARE]],MATCHHISTORIK[F])</f>
        <v>0</v>
      </c>
    </row>
    <row r="80" spans="1:47" x14ac:dyDescent="0.25">
      <c r="A80" s="97">
        <v>18</v>
      </c>
      <c r="B80" s="97">
        <v>4</v>
      </c>
      <c r="C80" s="101">
        <v>2014</v>
      </c>
      <c r="D80" s="119">
        <v>41910</v>
      </c>
      <c r="E80" s="116" t="s">
        <v>269</v>
      </c>
      <c r="F80" s="116" t="s">
        <v>254</v>
      </c>
      <c r="G80" s="97">
        <v>5</v>
      </c>
      <c r="H80" s="97">
        <v>5</v>
      </c>
      <c r="I80" s="120">
        <v>0</v>
      </c>
      <c r="J80" s="97">
        <v>10</v>
      </c>
      <c r="K80" s="97">
        <v>1</v>
      </c>
      <c r="L80" s="97">
        <v>1</v>
      </c>
      <c r="N80" s="97">
        <v>1</v>
      </c>
      <c r="AE80" s="116" t="s">
        <v>305</v>
      </c>
      <c r="AF80" s="121">
        <f>COUNTIF(E:F,Tabell32[[#This Row],[MOTSTÅNDARE]])</f>
        <v>1</v>
      </c>
      <c r="AG80" s="121">
        <f>Tabell32[[#This Row],[MS]]+Tabell32[[#This Row],[MS2]]</f>
        <v>3</v>
      </c>
      <c r="AH80" s="121">
        <f>SUMIF(E:E,Tabell32[[#This Row],[MOTSTÅNDARE]],I:I)</f>
        <v>3</v>
      </c>
      <c r="AI80" s="121">
        <f>SUMIF(F:F,Tabell32[[#This Row],[MOTSTÅNDARE]],I:I)</f>
        <v>0</v>
      </c>
      <c r="AJ80" s="124">
        <f>Tabell32[[#This Row],[MS ÅHUS IF]]/Tabell32[[#This Row],[ÅHUS MATCHER]]</f>
        <v>3</v>
      </c>
      <c r="AK80" s="121">
        <f>(Tabell32[[#This Row],[VINST]]*3)+Tabell32[[#This Row],[OAVGJORT]]</f>
        <v>3</v>
      </c>
      <c r="AL80" s="124">
        <f>Tabell32[[#This Row],[POÄNG]]/Tabell32[[#This Row],[ÅHUS MATCHER]]</f>
        <v>3</v>
      </c>
      <c r="AM80" s="121">
        <f>IFERROR(Tabell32[[#This Row],[V H]]+Tabell32[[#This Row],[V B]],"0")</f>
        <v>1</v>
      </c>
      <c r="AN80" s="121">
        <f>IFERROR(Tabell32[[#This Row],[O H]]+Tabell32[[#This Row],[O B]],"0")</f>
        <v>0</v>
      </c>
      <c r="AO80" s="121">
        <f>IFERROR(Tabell32[[#This Row],[F H]]+Tabell32[[#This Row],[F B]],"0")</f>
        <v>0</v>
      </c>
      <c r="AP80" s="121">
        <f>SUMIF(MATCHHISTORIK[BORTALAG],Tabell32[[#This Row],[MOTSTÅNDARE]],MATCHHISTORIK[V])</f>
        <v>0</v>
      </c>
      <c r="AQ80" s="121">
        <f>SUMIF(MATCHHISTORIK[BORTALAG],Tabell32[[#This Row],[MOTSTÅNDARE]],MATCHHISTORIK[O])</f>
        <v>0</v>
      </c>
      <c r="AR80" s="97">
        <f>SUMIF(MATCHHISTORIK[BORTALAG],Tabell32[[#This Row],[MOTSTÅNDARE]],MATCHHISTORIK[F])</f>
        <v>0</v>
      </c>
      <c r="AS80" s="97">
        <f>SUMIF(MATCHHISTORIK[HEMMALAG],Tabell32[[#This Row],[MOTSTÅNDARE]],MATCHHISTORIK[V])</f>
        <v>1</v>
      </c>
      <c r="AT80" s="97">
        <f>SUMIF(MATCHHISTORIK[HEMMALAG],Tabell32[[#This Row],[MOTSTÅNDARE]],MATCHHISTORIK[O])</f>
        <v>0</v>
      </c>
      <c r="AU80" s="97">
        <f>SUMIF(MATCHHISTORIK[HEMMALAG],Tabell32[[#This Row],[MOTSTÅNDARE]],MATCHHISTORIK[F])</f>
        <v>0</v>
      </c>
    </row>
    <row r="81" spans="1:47" x14ac:dyDescent="0.25">
      <c r="A81" s="97">
        <v>1</v>
      </c>
      <c r="B81" s="97">
        <v>4</v>
      </c>
      <c r="C81" s="101">
        <v>2015</v>
      </c>
      <c r="D81" s="119">
        <v>42106</v>
      </c>
      <c r="E81" s="116" t="s">
        <v>255</v>
      </c>
      <c r="F81" s="116" t="s">
        <v>254</v>
      </c>
      <c r="G81" s="97">
        <v>1</v>
      </c>
      <c r="H81" s="97">
        <v>6</v>
      </c>
      <c r="I81" s="120">
        <v>5</v>
      </c>
      <c r="J81" s="97">
        <v>7</v>
      </c>
      <c r="K81" s="97">
        <v>2</v>
      </c>
      <c r="L81" s="97">
        <v>1</v>
      </c>
      <c r="M81" s="97">
        <v>1</v>
      </c>
      <c r="AE81" s="116" t="s">
        <v>348</v>
      </c>
      <c r="AF81" s="121">
        <f>COUNTIF(E:F,Tabell32[[#This Row],[MOTSTÅNDARE]])</f>
        <v>1</v>
      </c>
      <c r="AG81" s="121">
        <f>Tabell32[[#This Row],[MS]]+Tabell32[[#This Row],[MS2]]</f>
        <v>3</v>
      </c>
      <c r="AH81" s="121">
        <f>SUMIF(E:E,Tabell32[[#This Row],[MOTSTÅNDARE]],I:I)</f>
        <v>3</v>
      </c>
      <c r="AI81" s="121">
        <f>SUMIF(F:F,Tabell32[[#This Row],[MOTSTÅNDARE]],I:I)</f>
        <v>0</v>
      </c>
      <c r="AJ81" s="124">
        <f>Tabell32[[#This Row],[MS ÅHUS IF]]/Tabell32[[#This Row],[ÅHUS MATCHER]]</f>
        <v>3</v>
      </c>
      <c r="AK81" s="121">
        <f>(Tabell32[[#This Row],[VINST]]*3)+Tabell32[[#This Row],[OAVGJORT]]</f>
        <v>3</v>
      </c>
      <c r="AL81" s="124">
        <f>Tabell32[[#This Row],[POÄNG]]/Tabell32[[#This Row],[ÅHUS MATCHER]]</f>
        <v>3</v>
      </c>
      <c r="AM81" s="121">
        <f>IFERROR(Tabell32[[#This Row],[V H]]+Tabell32[[#This Row],[V B]],"0")</f>
        <v>1</v>
      </c>
      <c r="AN81" s="121">
        <f>IFERROR(Tabell32[[#This Row],[O H]]+Tabell32[[#This Row],[O B]],"0")</f>
        <v>0</v>
      </c>
      <c r="AO81" s="121">
        <f>IFERROR(Tabell32[[#This Row],[F H]]+Tabell32[[#This Row],[F B]],"0")</f>
        <v>0</v>
      </c>
      <c r="AP81" s="121">
        <f>SUMIF(MATCHHISTORIK[BORTALAG],Tabell32[[#This Row],[MOTSTÅNDARE]],MATCHHISTORIK[V])</f>
        <v>0</v>
      </c>
      <c r="AQ81" s="121">
        <f>SUMIF(MATCHHISTORIK[BORTALAG],Tabell32[[#This Row],[MOTSTÅNDARE]],MATCHHISTORIK[O])</f>
        <v>0</v>
      </c>
      <c r="AR81" s="97">
        <f>SUMIF(MATCHHISTORIK[BORTALAG],Tabell32[[#This Row],[MOTSTÅNDARE]],MATCHHISTORIK[F])</f>
        <v>0</v>
      </c>
      <c r="AS81" s="97">
        <f>SUMIF(MATCHHISTORIK[HEMMALAG],Tabell32[[#This Row],[MOTSTÅNDARE]],MATCHHISTORIK[V])</f>
        <v>1</v>
      </c>
      <c r="AT81" s="97">
        <f>SUMIF(MATCHHISTORIK[HEMMALAG],Tabell32[[#This Row],[MOTSTÅNDARE]],MATCHHISTORIK[O])</f>
        <v>0</v>
      </c>
      <c r="AU81" s="97">
        <f>SUMIF(MATCHHISTORIK[HEMMALAG],Tabell32[[#This Row],[MOTSTÅNDARE]],MATCHHISTORIK[F])</f>
        <v>0</v>
      </c>
    </row>
    <row r="82" spans="1:47" x14ac:dyDescent="0.25">
      <c r="A82" s="97">
        <v>2</v>
      </c>
      <c r="B82" s="97">
        <v>4</v>
      </c>
      <c r="C82" s="101">
        <v>2015</v>
      </c>
      <c r="D82" s="119">
        <v>42112</v>
      </c>
      <c r="E82" s="116" t="s">
        <v>254</v>
      </c>
      <c r="F82" s="116" t="s">
        <v>269</v>
      </c>
      <c r="G82" s="97">
        <v>3</v>
      </c>
      <c r="H82" s="97">
        <v>3</v>
      </c>
      <c r="I82" s="120">
        <v>0</v>
      </c>
      <c r="J82" s="97">
        <v>6</v>
      </c>
      <c r="K82" s="97">
        <v>3</v>
      </c>
      <c r="L82" s="97">
        <v>1</v>
      </c>
      <c r="N82" s="97">
        <v>1</v>
      </c>
      <c r="AE82" s="116" t="s">
        <v>346</v>
      </c>
      <c r="AF82" s="121">
        <f>COUNTIF(E:F,Tabell32[[#This Row],[MOTSTÅNDARE]])</f>
        <v>1</v>
      </c>
      <c r="AG82" s="121">
        <f>Tabell32[[#This Row],[MS]]+Tabell32[[#This Row],[MS2]]</f>
        <v>2</v>
      </c>
      <c r="AH82" s="121">
        <f>SUMIF(E:E,Tabell32[[#This Row],[MOTSTÅNDARE]],I:I)</f>
        <v>2</v>
      </c>
      <c r="AI82" s="121">
        <f>SUMIF(F:F,Tabell32[[#This Row],[MOTSTÅNDARE]],I:I)</f>
        <v>0</v>
      </c>
      <c r="AJ82" s="124">
        <f>Tabell32[[#This Row],[MS ÅHUS IF]]/Tabell32[[#This Row],[ÅHUS MATCHER]]</f>
        <v>2</v>
      </c>
      <c r="AK82" s="121">
        <f>(Tabell32[[#This Row],[VINST]]*3)+Tabell32[[#This Row],[OAVGJORT]]</f>
        <v>3</v>
      </c>
      <c r="AL82" s="124">
        <f>Tabell32[[#This Row],[POÄNG]]/Tabell32[[#This Row],[ÅHUS MATCHER]]</f>
        <v>3</v>
      </c>
      <c r="AM82" s="121">
        <f>IFERROR(Tabell32[[#This Row],[V H]]+Tabell32[[#This Row],[V B]],"0")</f>
        <v>1</v>
      </c>
      <c r="AN82" s="121">
        <f>IFERROR(Tabell32[[#This Row],[O H]]+Tabell32[[#This Row],[O B]],"0")</f>
        <v>0</v>
      </c>
      <c r="AO82" s="121">
        <f>IFERROR(Tabell32[[#This Row],[F H]]+Tabell32[[#This Row],[F B]],"0")</f>
        <v>0</v>
      </c>
      <c r="AP82" s="121">
        <f>SUMIF(MATCHHISTORIK[BORTALAG],Tabell32[[#This Row],[MOTSTÅNDARE]],MATCHHISTORIK[V])</f>
        <v>0</v>
      </c>
      <c r="AQ82" s="121">
        <f>SUMIF(MATCHHISTORIK[BORTALAG],Tabell32[[#This Row],[MOTSTÅNDARE]],MATCHHISTORIK[O])</f>
        <v>0</v>
      </c>
      <c r="AR82" s="97">
        <f>SUMIF(MATCHHISTORIK[BORTALAG],Tabell32[[#This Row],[MOTSTÅNDARE]],MATCHHISTORIK[F])</f>
        <v>0</v>
      </c>
      <c r="AS82" s="97">
        <f>SUMIF(MATCHHISTORIK[HEMMALAG],Tabell32[[#This Row],[MOTSTÅNDARE]],MATCHHISTORIK[V])</f>
        <v>1</v>
      </c>
      <c r="AT82" s="97">
        <f>SUMIF(MATCHHISTORIK[HEMMALAG],Tabell32[[#This Row],[MOTSTÅNDARE]],MATCHHISTORIK[O])</f>
        <v>0</v>
      </c>
      <c r="AU82" s="97">
        <f>SUMIF(MATCHHISTORIK[HEMMALAG],Tabell32[[#This Row],[MOTSTÅNDARE]],MATCHHISTORIK[F])</f>
        <v>0</v>
      </c>
    </row>
    <row r="83" spans="1:47" x14ac:dyDescent="0.25">
      <c r="A83" s="97">
        <v>3</v>
      </c>
      <c r="B83" s="97">
        <v>4</v>
      </c>
      <c r="C83" s="101">
        <v>2015</v>
      </c>
      <c r="D83" s="119">
        <v>42120</v>
      </c>
      <c r="E83" s="116" t="s">
        <v>261</v>
      </c>
      <c r="F83" s="116" t="s">
        <v>254</v>
      </c>
      <c r="G83" s="97">
        <v>0</v>
      </c>
      <c r="H83" s="97">
        <v>6</v>
      </c>
      <c r="I83" s="120">
        <v>6</v>
      </c>
      <c r="J83" s="97">
        <v>6</v>
      </c>
      <c r="K83" s="97">
        <v>4</v>
      </c>
      <c r="L83" s="97">
        <v>1</v>
      </c>
      <c r="M83" s="97">
        <v>1</v>
      </c>
      <c r="AE83" s="116" t="s">
        <v>320</v>
      </c>
      <c r="AF83" s="121">
        <f>COUNTIF(E:F,Tabell32[[#This Row],[MOTSTÅNDARE]])</f>
        <v>1</v>
      </c>
      <c r="AG83" s="121">
        <f>Tabell32[[#This Row],[MS]]+Tabell32[[#This Row],[MS2]]</f>
        <v>1</v>
      </c>
      <c r="AH83" s="121">
        <f>SUMIF(E:E,Tabell32[[#This Row],[MOTSTÅNDARE]],I:I)</f>
        <v>0</v>
      </c>
      <c r="AI83" s="121">
        <f>SUMIF(F:F,Tabell32[[#This Row],[MOTSTÅNDARE]],I:I)</f>
        <v>1</v>
      </c>
      <c r="AJ83" s="124">
        <f>Tabell32[[#This Row],[MS ÅHUS IF]]/Tabell32[[#This Row],[ÅHUS MATCHER]]</f>
        <v>1</v>
      </c>
      <c r="AK83" s="121">
        <f>(Tabell32[[#This Row],[VINST]]*3)+Tabell32[[#This Row],[OAVGJORT]]</f>
        <v>3</v>
      </c>
      <c r="AL83" s="124">
        <f>Tabell32[[#This Row],[POÄNG]]/Tabell32[[#This Row],[ÅHUS MATCHER]]</f>
        <v>3</v>
      </c>
      <c r="AM83" s="121">
        <f>IFERROR(Tabell32[[#This Row],[V H]]+Tabell32[[#This Row],[V B]],"0")</f>
        <v>1</v>
      </c>
      <c r="AN83" s="121">
        <f>IFERROR(Tabell32[[#This Row],[O H]]+Tabell32[[#This Row],[O B]],"0")</f>
        <v>0</v>
      </c>
      <c r="AO83" s="121">
        <f>IFERROR(Tabell32[[#This Row],[F H]]+Tabell32[[#This Row],[F B]],"0")</f>
        <v>0</v>
      </c>
      <c r="AP83" s="121">
        <f>SUMIF(MATCHHISTORIK[BORTALAG],Tabell32[[#This Row],[MOTSTÅNDARE]],MATCHHISTORIK[V])</f>
        <v>1</v>
      </c>
      <c r="AQ83" s="121">
        <f>SUMIF(MATCHHISTORIK[BORTALAG],Tabell32[[#This Row],[MOTSTÅNDARE]],MATCHHISTORIK[O])</f>
        <v>0</v>
      </c>
      <c r="AR83" s="97">
        <f>SUMIF(MATCHHISTORIK[BORTALAG],Tabell32[[#This Row],[MOTSTÅNDARE]],MATCHHISTORIK[F])</f>
        <v>0</v>
      </c>
      <c r="AS83" s="97">
        <f>SUMIF(MATCHHISTORIK[HEMMALAG],Tabell32[[#This Row],[MOTSTÅNDARE]],MATCHHISTORIK[V])</f>
        <v>0</v>
      </c>
      <c r="AT83" s="97">
        <f>SUMIF(MATCHHISTORIK[HEMMALAG],Tabell32[[#This Row],[MOTSTÅNDARE]],MATCHHISTORIK[O])</f>
        <v>0</v>
      </c>
      <c r="AU83" s="97">
        <f>SUMIF(MATCHHISTORIK[HEMMALAG],Tabell32[[#This Row],[MOTSTÅNDARE]],MATCHHISTORIK[F])</f>
        <v>0</v>
      </c>
    </row>
    <row r="84" spans="1:47" x14ac:dyDescent="0.25">
      <c r="A84" s="97">
        <v>4</v>
      </c>
      <c r="B84" s="97">
        <v>4</v>
      </c>
      <c r="C84" s="101">
        <v>2015</v>
      </c>
      <c r="D84" s="119">
        <v>42123</v>
      </c>
      <c r="E84" s="116" t="s">
        <v>254</v>
      </c>
      <c r="F84" s="116" t="s">
        <v>275</v>
      </c>
      <c r="G84" s="97">
        <v>5</v>
      </c>
      <c r="H84" s="97">
        <v>3</v>
      </c>
      <c r="I84" s="120">
        <v>2</v>
      </c>
      <c r="J84" s="97">
        <v>8</v>
      </c>
      <c r="K84" s="97">
        <v>5</v>
      </c>
      <c r="L84" s="97">
        <v>1</v>
      </c>
      <c r="M84" s="97">
        <v>1</v>
      </c>
      <c r="AE84" s="116" t="s">
        <v>316</v>
      </c>
      <c r="AF84" s="121">
        <f>COUNTIF(E:F,Tabell32[[#This Row],[MOTSTÅNDARE]])</f>
        <v>1</v>
      </c>
      <c r="AG84" s="121">
        <f>Tabell32[[#This Row],[MS]]+Tabell32[[#This Row],[MS2]]</f>
        <v>1</v>
      </c>
      <c r="AH84" s="121">
        <f>SUMIF(E:E,Tabell32[[#This Row],[MOTSTÅNDARE]],I:I)</f>
        <v>0</v>
      </c>
      <c r="AI84" s="121">
        <f>SUMIF(F:F,Tabell32[[#This Row],[MOTSTÅNDARE]],I:I)</f>
        <v>1</v>
      </c>
      <c r="AJ84" s="124">
        <f>Tabell32[[#This Row],[MS ÅHUS IF]]/Tabell32[[#This Row],[ÅHUS MATCHER]]</f>
        <v>1</v>
      </c>
      <c r="AK84" s="121">
        <f>(Tabell32[[#This Row],[VINST]]*3)+Tabell32[[#This Row],[OAVGJORT]]</f>
        <v>3</v>
      </c>
      <c r="AL84" s="124">
        <f>Tabell32[[#This Row],[POÄNG]]/Tabell32[[#This Row],[ÅHUS MATCHER]]</f>
        <v>3</v>
      </c>
      <c r="AM84" s="121">
        <f>IFERROR(Tabell32[[#This Row],[V H]]+Tabell32[[#This Row],[V B]],"0")</f>
        <v>1</v>
      </c>
      <c r="AN84" s="121">
        <f>IFERROR(Tabell32[[#This Row],[O H]]+Tabell32[[#This Row],[O B]],"0")</f>
        <v>0</v>
      </c>
      <c r="AO84" s="121">
        <f>IFERROR(Tabell32[[#This Row],[F H]]+Tabell32[[#This Row],[F B]],"0")</f>
        <v>0</v>
      </c>
      <c r="AP84" s="121">
        <f>SUMIF(MATCHHISTORIK[BORTALAG],Tabell32[[#This Row],[MOTSTÅNDARE]],MATCHHISTORIK[V])</f>
        <v>1</v>
      </c>
      <c r="AQ84" s="121">
        <f>SUMIF(MATCHHISTORIK[BORTALAG],Tabell32[[#This Row],[MOTSTÅNDARE]],MATCHHISTORIK[O])</f>
        <v>0</v>
      </c>
      <c r="AR84" s="97">
        <f>SUMIF(MATCHHISTORIK[BORTALAG],Tabell32[[#This Row],[MOTSTÅNDARE]],MATCHHISTORIK[F])</f>
        <v>0</v>
      </c>
      <c r="AS84" s="97">
        <f>SUMIF(MATCHHISTORIK[HEMMALAG],Tabell32[[#This Row],[MOTSTÅNDARE]],MATCHHISTORIK[V])</f>
        <v>0</v>
      </c>
      <c r="AT84" s="97">
        <f>SUMIF(MATCHHISTORIK[HEMMALAG],Tabell32[[#This Row],[MOTSTÅNDARE]],MATCHHISTORIK[O])</f>
        <v>0</v>
      </c>
      <c r="AU84" s="97">
        <f>SUMIF(MATCHHISTORIK[HEMMALAG],Tabell32[[#This Row],[MOTSTÅNDARE]],MATCHHISTORIK[F])</f>
        <v>0</v>
      </c>
    </row>
    <row r="85" spans="1:47" x14ac:dyDescent="0.25">
      <c r="A85" s="97">
        <v>5</v>
      </c>
      <c r="B85" s="97">
        <v>4</v>
      </c>
      <c r="C85" s="101">
        <v>2015</v>
      </c>
      <c r="D85" s="119">
        <v>42130</v>
      </c>
      <c r="E85" s="116" t="s">
        <v>257</v>
      </c>
      <c r="F85" s="116" t="s">
        <v>254</v>
      </c>
      <c r="G85" s="97">
        <v>1</v>
      </c>
      <c r="H85" s="97">
        <v>10</v>
      </c>
      <c r="I85" s="120">
        <v>9</v>
      </c>
      <c r="J85" s="97">
        <v>11</v>
      </c>
      <c r="K85" s="97">
        <v>6</v>
      </c>
      <c r="L85" s="97">
        <v>1</v>
      </c>
      <c r="M85" s="97">
        <v>1</v>
      </c>
      <c r="AE85" s="116" t="s">
        <v>289</v>
      </c>
      <c r="AF85" s="121">
        <f>COUNTIF(E:F,Tabell32[[#This Row],[MOTSTÅNDARE]])</f>
        <v>4</v>
      </c>
      <c r="AG85" s="121">
        <f>Tabell32[[#This Row],[MS]]+Tabell32[[#This Row],[MS2]]</f>
        <v>-4</v>
      </c>
      <c r="AH85" s="121">
        <f>SUMIF(E:E,Tabell32[[#This Row],[MOTSTÅNDARE]],I:I)</f>
        <v>-3</v>
      </c>
      <c r="AI85" s="121">
        <f>SUMIF(F:F,Tabell32[[#This Row],[MOTSTÅNDARE]],I:I)</f>
        <v>-1</v>
      </c>
      <c r="AJ85" s="124">
        <f>Tabell32[[#This Row],[MS ÅHUS IF]]/Tabell32[[#This Row],[ÅHUS MATCHER]]</f>
        <v>-1</v>
      </c>
      <c r="AK85" s="121">
        <f>(Tabell32[[#This Row],[VINST]]*3)+Tabell32[[#This Row],[OAVGJORT]]</f>
        <v>0</v>
      </c>
      <c r="AL85" s="124">
        <f>Tabell32[[#This Row],[POÄNG]]/Tabell32[[#This Row],[ÅHUS MATCHER]]</f>
        <v>0</v>
      </c>
      <c r="AM85" s="121">
        <f>IFERROR(Tabell32[[#This Row],[V H]]+Tabell32[[#This Row],[V B]],"0")</f>
        <v>0</v>
      </c>
      <c r="AN85" s="121">
        <f>IFERROR(Tabell32[[#This Row],[O H]]+Tabell32[[#This Row],[O B]],"0")</f>
        <v>0</v>
      </c>
      <c r="AO85" s="121">
        <f>IFERROR(Tabell32[[#This Row],[F H]]+Tabell32[[#This Row],[F B]],"0")</f>
        <v>2</v>
      </c>
      <c r="AP85" s="121">
        <f>SUMIF(MATCHHISTORIK[BORTALAG],Tabell32[[#This Row],[MOTSTÅNDARE]],MATCHHISTORIK[V])</f>
        <v>0</v>
      </c>
      <c r="AQ85" s="121">
        <f>SUMIF(MATCHHISTORIK[BORTALAG],Tabell32[[#This Row],[MOTSTÅNDARE]],MATCHHISTORIK[O])</f>
        <v>0</v>
      </c>
      <c r="AR85" s="97">
        <f>SUMIF(MATCHHISTORIK[BORTALAG],Tabell32[[#This Row],[MOTSTÅNDARE]],MATCHHISTORIK[F])</f>
        <v>1</v>
      </c>
      <c r="AS85" s="97">
        <f>SUMIF(MATCHHISTORIK[HEMMALAG],Tabell32[[#This Row],[MOTSTÅNDARE]],MATCHHISTORIK[V])</f>
        <v>0</v>
      </c>
      <c r="AT85" s="97">
        <f>SUMIF(MATCHHISTORIK[HEMMALAG],Tabell32[[#This Row],[MOTSTÅNDARE]],MATCHHISTORIK[O])</f>
        <v>0</v>
      </c>
      <c r="AU85" s="97">
        <f>SUMIF(MATCHHISTORIK[HEMMALAG],Tabell32[[#This Row],[MOTSTÅNDARE]],MATCHHISTORIK[F])</f>
        <v>1</v>
      </c>
    </row>
    <row r="86" spans="1:47" x14ac:dyDescent="0.25">
      <c r="A86" s="97">
        <v>6</v>
      </c>
      <c r="B86" s="97">
        <v>4</v>
      </c>
      <c r="C86" s="101">
        <v>2015</v>
      </c>
      <c r="D86" s="119">
        <v>42134</v>
      </c>
      <c r="E86" s="116" t="s">
        <v>254</v>
      </c>
      <c r="F86" s="116" t="s">
        <v>318</v>
      </c>
      <c r="G86" s="97">
        <v>3</v>
      </c>
      <c r="H86" s="97">
        <v>2</v>
      </c>
      <c r="I86" s="120">
        <v>1</v>
      </c>
      <c r="J86" s="97">
        <v>5</v>
      </c>
      <c r="K86" s="97">
        <v>7</v>
      </c>
      <c r="L86" s="97">
        <v>1</v>
      </c>
      <c r="M86" s="97">
        <v>1</v>
      </c>
      <c r="AE86" s="116" t="s">
        <v>334</v>
      </c>
      <c r="AF86" s="121">
        <f>COUNTIF(E:F,Tabell32[[#This Row],[MOTSTÅNDARE]])</f>
        <v>3</v>
      </c>
      <c r="AG86" s="121">
        <f>Tabell32[[#This Row],[MS]]+Tabell32[[#This Row],[MS2]]</f>
        <v>-15</v>
      </c>
      <c r="AH86" s="121">
        <f>SUMIF(E:E,Tabell32[[#This Row],[MOTSTÅNDARE]],I:I)</f>
        <v>-14</v>
      </c>
      <c r="AI86" s="121">
        <f>SUMIF(F:F,Tabell32[[#This Row],[MOTSTÅNDARE]],I:I)</f>
        <v>-1</v>
      </c>
      <c r="AJ86" s="124">
        <f>Tabell32[[#This Row],[MS ÅHUS IF]]/Tabell32[[#This Row],[ÅHUS MATCHER]]</f>
        <v>-5</v>
      </c>
      <c r="AK86" s="121">
        <f>(Tabell32[[#This Row],[VINST]]*3)+Tabell32[[#This Row],[OAVGJORT]]</f>
        <v>0</v>
      </c>
      <c r="AL86" s="124">
        <f>Tabell32[[#This Row],[POÄNG]]/Tabell32[[#This Row],[ÅHUS MATCHER]]</f>
        <v>0</v>
      </c>
      <c r="AM86" s="121">
        <f>IFERROR(Tabell32[[#This Row],[V H]]+Tabell32[[#This Row],[V B]],"0")</f>
        <v>0</v>
      </c>
      <c r="AN86" s="121">
        <f>IFERROR(Tabell32[[#This Row],[O H]]+Tabell32[[#This Row],[O B]],"0")</f>
        <v>0</v>
      </c>
      <c r="AO86" s="121">
        <f>IFERROR(Tabell32[[#This Row],[F H]]+Tabell32[[#This Row],[F B]],"0")</f>
        <v>3</v>
      </c>
      <c r="AP86" s="121">
        <f>SUMIF(MATCHHISTORIK[BORTALAG],Tabell32[[#This Row],[MOTSTÅNDARE]],MATCHHISTORIK[V])</f>
        <v>0</v>
      </c>
      <c r="AQ86" s="121">
        <f>SUMIF(MATCHHISTORIK[BORTALAG],Tabell32[[#This Row],[MOTSTÅNDARE]],MATCHHISTORIK[O])</f>
        <v>0</v>
      </c>
      <c r="AR86" s="97">
        <f>SUMIF(MATCHHISTORIK[BORTALAG],Tabell32[[#This Row],[MOTSTÅNDARE]],MATCHHISTORIK[F])</f>
        <v>1</v>
      </c>
      <c r="AS86" s="97">
        <f>SUMIF(MATCHHISTORIK[HEMMALAG],Tabell32[[#This Row],[MOTSTÅNDARE]],MATCHHISTORIK[V])</f>
        <v>0</v>
      </c>
      <c r="AT86" s="97">
        <f>SUMIF(MATCHHISTORIK[HEMMALAG],Tabell32[[#This Row],[MOTSTÅNDARE]],MATCHHISTORIK[O])</f>
        <v>0</v>
      </c>
      <c r="AU86" s="97">
        <f>SUMIF(MATCHHISTORIK[HEMMALAG],Tabell32[[#This Row],[MOTSTÅNDARE]],MATCHHISTORIK[F])</f>
        <v>2</v>
      </c>
    </row>
    <row r="87" spans="1:47" x14ac:dyDescent="0.25">
      <c r="A87" s="97">
        <v>7</v>
      </c>
      <c r="B87" s="97">
        <v>4</v>
      </c>
      <c r="C87" s="101">
        <v>2015</v>
      </c>
      <c r="D87" s="119">
        <v>42141</v>
      </c>
      <c r="E87" s="116" t="s">
        <v>258</v>
      </c>
      <c r="F87" s="116" t="s">
        <v>254</v>
      </c>
      <c r="G87" s="97">
        <v>3</v>
      </c>
      <c r="H87" s="97">
        <v>3</v>
      </c>
      <c r="I87" s="120">
        <v>0</v>
      </c>
      <c r="J87" s="97">
        <v>6</v>
      </c>
      <c r="K87" s="97">
        <v>8</v>
      </c>
      <c r="L87" s="97">
        <v>1</v>
      </c>
      <c r="N87" s="97">
        <v>1</v>
      </c>
      <c r="AE87" s="116" t="s">
        <v>287</v>
      </c>
      <c r="AF87" s="121">
        <f>COUNTIF(E:F,Tabell32[[#This Row],[MOTSTÅNDARE]])</f>
        <v>2</v>
      </c>
      <c r="AG87" s="121">
        <f>Tabell32[[#This Row],[MS]]+Tabell32[[#This Row],[MS2]]</f>
        <v>-7</v>
      </c>
      <c r="AH87" s="121">
        <f>SUMIF(E:E,Tabell32[[#This Row],[MOTSTÅNDARE]],I:I)</f>
        <v>-6</v>
      </c>
      <c r="AI87" s="121">
        <f>SUMIF(F:F,Tabell32[[#This Row],[MOTSTÅNDARE]],I:I)</f>
        <v>-1</v>
      </c>
      <c r="AJ87" s="124">
        <f>Tabell32[[#This Row],[MS ÅHUS IF]]/Tabell32[[#This Row],[ÅHUS MATCHER]]</f>
        <v>-3.5</v>
      </c>
      <c r="AK87" s="121">
        <f>(Tabell32[[#This Row],[VINST]]*3)+Tabell32[[#This Row],[OAVGJORT]]</f>
        <v>0</v>
      </c>
      <c r="AL87" s="124">
        <f>Tabell32[[#This Row],[POÄNG]]/Tabell32[[#This Row],[ÅHUS MATCHER]]</f>
        <v>0</v>
      </c>
      <c r="AM87" s="121">
        <f>IFERROR(Tabell32[[#This Row],[V H]]+Tabell32[[#This Row],[V B]],"0")</f>
        <v>0</v>
      </c>
      <c r="AN87" s="121">
        <f>IFERROR(Tabell32[[#This Row],[O H]]+Tabell32[[#This Row],[O B]],"0")</f>
        <v>0</v>
      </c>
      <c r="AO87" s="121">
        <f>IFERROR(Tabell32[[#This Row],[F H]]+Tabell32[[#This Row],[F B]],"0")</f>
        <v>2</v>
      </c>
      <c r="AP87" s="121">
        <f>SUMIF(MATCHHISTORIK[BORTALAG],Tabell32[[#This Row],[MOTSTÅNDARE]],MATCHHISTORIK[V])</f>
        <v>0</v>
      </c>
      <c r="AQ87" s="121">
        <f>SUMIF(MATCHHISTORIK[BORTALAG],Tabell32[[#This Row],[MOTSTÅNDARE]],MATCHHISTORIK[O])</f>
        <v>0</v>
      </c>
      <c r="AR87" s="97">
        <f>SUMIF(MATCHHISTORIK[BORTALAG],Tabell32[[#This Row],[MOTSTÅNDARE]],MATCHHISTORIK[F])</f>
        <v>1</v>
      </c>
      <c r="AS87" s="97">
        <f>SUMIF(MATCHHISTORIK[HEMMALAG],Tabell32[[#This Row],[MOTSTÅNDARE]],MATCHHISTORIK[V])</f>
        <v>0</v>
      </c>
      <c r="AT87" s="97">
        <f>SUMIF(MATCHHISTORIK[HEMMALAG],Tabell32[[#This Row],[MOTSTÅNDARE]],MATCHHISTORIK[O])</f>
        <v>0</v>
      </c>
      <c r="AU87" s="97">
        <f>SUMIF(MATCHHISTORIK[HEMMALAG],Tabell32[[#This Row],[MOTSTÅNDARE]],MATCHHISTORIK[F])</f>
        <v>1</v>
      </c>
    </row>
    <row r="88" spans="1:47" x14ac:dyDescent="0.25">
      <c r="A88" s="97">
        <v>9</v>
      </c>
      <c r="B88" s="97">
        <v>4</v>
      </c>
      <c r="C88" s="101">
        <v>2015</v>
      </c>
      <c r="D88" s="119">
        <v>42157</v>
      </c>
      <c r="E88" s="116" t="s">
        <v>254</v>
      </c>
      <c r="F88" s="116" t="s">
        <v>328</v>
      </c>
      <c r="G88" s="97">
        <v>2</v>
      </c>
      <c r="H88" s="97">
        <v>6</v>
      </c>
      <c r="I88" s="120">
        <v>-4</v>
      </c>
      <c r="J88" s="97">
        <v>8</v>
      </c>
      <c r="L88" s="97">
        <v>1</v>
      </c>
      <c r="O88" s="97">
        <v>1</v>
      </c>
      <c r="AE88" s="116" t="s">
        <v>332</v>
      </c>
      <c r="AF88" s="121">
        <f>COUNTIF(E:F,Tabell32[[#This Row],[MOTSTÅNDARE]])</f>
        <v>2</v>
      </c>
      <c r="AG88" s="121">
        <f>Tabell32[[#This Row],[MS]]+Tabell32[[#This Row],[MS2]]</f>
        <v>-10</v>
      </c>
      <c r="AH88" s="121">
        <f>SUMIF(E:E,Tabell32[[#This Row],[MOTSTÅNDARE]],I:I)</f>
        <v>-4</v>
      </c>
      <c r="AI88" s="121">
        <f>SUMIF(F:F,Tabell32[[#This Row],[MOTSTÅNDARE]],I:I)</f>
        <v>-6</v>
      </c>
      <c r="AJ88" s="124">
        <f>Tabell32[[#This Row],[MS ÅHUS IF]]/Tabell32[[#This Row],[ÅHUS MATCHER]]</f>
        <v>-5</v>
      </c>
      <c r="AK88" s="121">
        <f>(Tabell32[[#This Row],[VINST]]*3)+Tabell32[[#This Row],[OAVGJORT]]</f>
        <v>0</v>
      </c>
      <c r="AL88" s="124">
        <f>Tabell32[[#This Row],[POÄNG]]/Tabell32[[#This Row],[ÅHUS MATCHER]]</f>
        <v>0</v>
      </c>
      <c r="AM88" s="121">
        <f>IFERROR(Tabell32[[#This Row],[V H]]+Tabell32[[#This Row],[V B]],"0")</f>
        <v>0</v>
      </c>
      <c r="AN88" s="121">
        <f>IFERROR(Tabell32[[#This Row],[O H]]+Tabell32[[#This Row],[O B]],"0")</f>
        <v>0</v>
      </c>
      <c r="AO88" s="121">
        <f>IFERROR(Tabell32[[#This Row],[F H]]+Tabell32[[#This Row],[F B]],"0")</f>
        <v>2</v>
      </c>
      <c r="AP88" s="121">
        <f>SUMIF(MATCHHISTORIK[BORTALAG],Tabell32[[#This Row],[MOTSTÅNDARE]],MATCHHISTORIK[V])</f>
        <v>0</v>
      </c>
      <c r="AQ88" s="121">
        <f>SUMIF(MATCHHISTORIK[BORTALAG],Tabell32[[#This Row],[MOTSTÅNDARE]],MATCHHISTORIK[O])</f>
        <v>0</v>
      </c>
      <c r="AR88" s="97">
        <f>SUMIF(MATCHHISTORIK[BORTALAG],Tabell32[[#This Row],[MOTSTÅNDARE]],MATCHHISTORIK[F])</f>
        <v>1</v>
      </c>
      <c r="AS88" s="97">
        <f>SUMIF(MATCHHISTORIK[HEMMALAG],Tabell32[[#This Row],[MOTSTÅNDARE]],MATCHHISTORIK[V])</f>
        <v>0</v>
      </c>
      <c r="AT88" s="97">
        <f>SUMIF(MATCHHISTORIK[HEMMALAG],Tabell32[[#This Row],[MOTSTÅNDARE]],MATCHHISTORIK[O])</f>
        <v>0</v>
      </c>
      <c r="AU88" s="97">
        <f>SUMIF(MATCHHISTORIK[HEMMALAG],Tabell32[[#This Row],[MOTSTÅNDARE]],MATCHHISTORIK[F])</f>
        <v>1</v>
      </c>
    </row>
    <row r="89" spans="1:47" x14ac:dyDescent="0.25">
      <c r="A89" s="97">
        <v>11</v>
      </c>
      <c r="B89" s="97">
        <v>4</v>
      </c>
      <c r="C89" s="101">
        <v>2015</v>
      </c>
      <c r="D89" s="119">
        <v>42169</v>
      </c>
      <c r="E89" s="116" t="s">
        <v>254</v>
      </c>
      <c r="F89" s="116" t="s">
        <v>271</v>
      </c>
      <c r="G89" s="97">
        <v>5</v>
      </c>
      <c r="H89" s="97">
        <v>0</v>
      </c>
      <c r="I89" s="120">
        <v>5</v>
      </c>
      <c r="J89" s="97">
        <v>5</v>
      </c>
      <c r="K89" s="97">
        <v>1</v>
      </c>
      <c r="L89" s="97">
        <v>1</v>
      </c>
      <c r="M89" s="97">
        <v>1</v>
      </c>
      <c r="AE89" s="116" t="s">
        <v>299</v>
      </c>
      <c r="AF89" s="121">
        <f>COUNTIF(E:F,Tabell32[[#This Row],[MOTSTÅNDARE]])</f>
        <v>2</v>
      </c>
      <c r="AG89" s="121">
        <f>Tabell32[[#This Row],[MS]]+Tabell32[[#This Row],[MS2]]</f>
        <v>-13</v>
      </c>
      <c r="AH89" s="121">
        <f>SUMIF(E:E,Tabell32[[#This Row],[MOTSTÅNDARE]],I:I)</f>
        <v>-5</v>
      </c>
      <c r="AI89" s="121">
        <f>SUMIF(F:F,Tabell32[[#This Row],[MOTSTÅNDARE]],I:I)</f>
        <v>-8</v>
      </c>
      <c r="AJ89" s="124">
        <f>Tabell32[[#This Row],[MS ÅHUS IF]]/Tabell32[[#This Row],[ÅHUS MATCHER]]</f>
        <v>-6.5</v>
      </c>
      <c r="AK89" s="121">
        <f>(Tabell32[[#This Row],[VINST]]*3)+Tabell32[[#This Row],[OAVGJORT]]</f>
        <v>0</v>
      </c>
      <c r="AL89" s="124">
        <f>Tabell32[[#This Row],[POÄNG]]/Tabell32[[#This Row],[ÅHUS MATCHER]]</f>
        <v>0</v>
      </c>
      <c r="AM89" s="121">
        <f>IFERROR(Tabell32[[#This Row],[V H]]+Tabell32[[#This Row],[V B]],"0")</f>
        <v>0</v>
      </c>
      <c r="AN89" s="121">
        <f>IFERROR(Tabell32[[#This Row],[O H]]+Tabell32[[#This Row],[O B]],"0")</f>
        <v>0</v>
      </c>
      <c r="AO89" s="121">
        <f>IFERROR(Tabell32[[#This Row],[F H]]+Tabell32[[#This Row],[F B]],"0")</f>
        <v>2</v>
      </c>
      <c r="AP89" s="121">
        <f>SUMIF(MATCHHISTORIK[BORTALAG],Tabell32[[#This Row],[MOTSTÅNDARE]],MATCHHISTORIK[V])</f>
        <v>0</v>
      </c>
      <c r="AQ89" s="121">
        <f>SUMIF(MATCHHISTORIK[BORTALAG],Tabell32[[#This Row],[MOTSTÅNDARE]],MATCHHISTORIK[O])</f>
        <v>0</v>
      </c>
      <c r="AR89" s="97">
        <f>SUMIF(MATCHHISTORIK[BORTALAG],Tabell32[[#This Row],[MOTSTÅNDARE]],MATCHHISTORIK[F])</f>
        <v>1</v>
      </c>
      <c r="AS89" s="97">
        <f>SUMIF(MATCHHISTORIK[HEMMALAG],Tabell32[[#This Row],[MOTSTÅNDARE]],MATCHHISTORIK[V])</f>
        <v>0</v>
      </c>
      <c r="AT89" s="97">
        <f>SUMIF(MATCHHISTORIK[HEMMALAG],Tabell32[[#This Row],[MOTSTÅNDARE]],MATCHHISTORIK[O])</f>
        <v>0</v>
      </c>
      <c r="AU89" s="97">
        <f>SUMIF(MATCHHISTORIK[HEMMALAG],Tabell32[[#This Row],[MOTSTÅNDARE]],MATCHHISTORIK[F])</f>
        <v>1</v>
      </c>
    </row>
    <row r="90" spans="1:47" x14ac:dyDescent="0.25">
      <c r="A90" s="97">
        <v>12</v>
      </c>
      <c r="B90" s="97">
        <v>4</v>
      </c>
      <c r="C90" s="101">
        <v>2015</v>
      </c>
      <c r="D90" s="119">
        <v>42176</v>
      </c>
      <c r="E90" s="116" t="s">
        <v>254</v>
      </c>
      <c r="F90" s="116" t="s">
        <v>255</v>
      </c>
      <c r="G90" s="97">
        <v>12</v>
      </c>
      <c r="H90" s="97">
        <v>0</v>
      </c>
      <c r="I90" s="120">
        <v>12</v>
      </c>
      <c r="J90" s="97">
        <v>12</v>
      </c>
      <c r="K90" s="97">
        <v>2</v>
      </c>
      <c r="L90" s="97">
        <v>1</v>
      </c>
      <c r="M90" s="97">
        <v>1</v>
      </c>
      <c r="AE90" s="116" t="s">
        <v>337</v>
      </c>
      <c r="AF90" s="121">
        <f>COUNTIF(E:F,Tabell32[[#This Row],[MOTSTÅNDARE]])</f>
        <v>1</v>
      </c>
      <c r="AG90" s="121">
        <f>Tabell32[[#This Row],[MS]]+Tabell32[[#This Row],[MS2]]</f>
        <v>-1</v>
      </c>
      <c r="AH90" s="121">
        <f>SUMIF(E:E,Tabell32[[#This Row],[MOTSTÅNDARE]],I:I)</f>
        <v>0</v>
      </c>
      <c r="AI90" s="121">
        <f>SUMIF(F:F,Tabell32[[#This Row],[MOTSTÅNDARE]],I:I)</f>
        <v>-1</v>
      </c>
      <c r="AJ90" s="124">
        <f>Tabell32[[#This Row],[MS ÅHUS IF]]/Tabell32[[#This Row],[ÅHUS MATCHER]]</f>
        <v>-1</v>
      </c>
      <c r="AK90" s="121">
        <f>(Tabell32[[#This Row],[VINST]]*3)+Tabell32[[#This Row],[OAVGJORT]]</f>
        <v>0</v>
      </c>
      <c r="AL90" s="124">
        <f>Tabell32[[#This Row],[POÄNG]]/Tabell32[[#This Row],[ÅHUS MATCHER]]</f>
        <v>0</v>
      </c>
      <c r="AM90" s="121">
        <f>IFERROR(Tabell32[[#This Row],[V H]]+Tabell32[[#This Row],[V B]],"0")</f>
        <v>0</v>
      </c>
      <c r="AN90" s="121">
        <f>IFERROR(Tabell32[[#This Row],[O H]]+Tabell32[[#This Row],[O B]],"0")</f>
        <v>0</v>
      </c>
      <c r="AO90" s="121">
        <f>IFERROR(Tabell32[[#This Row],[F H]]+Tabell32[[#This Row],[F B]],"0")</f>
        <v>1</v>
      </c>
      <c r="AP90" s="121">
        <f>SUMIF(MATCHHISTORIK[BORTALAG],Tabell32[[#This Row],[MOTSTÅNDARE]],MATCHHISTORIK[V])</f>
        <v>0</v>
      </c>
      <c r="AQ90" s="121">
        <f>SUMIF(MATCHHISTORIK[BORTALAG],Tabell32[[#This Row],[MOTSTÅNDARE]],MATCHHISTORIK[O])</f>
        <v>0</v>
      </c>
      <c r="AR90" s="97">
        <f>SUMIF(MATCHHISTORIK[BORTALAG],Tabell32[[#This Row],[MOTSTÅNDARE]],MATCHHISTORIK[F])</f>
        <v>1</v>
      </c>
      <c r="AS90" s="97">
        <f>SUMIF(MATCHHISTORIK[HEMMALAG],Tabell32[[#This Row],[MOTSTÅNDARE]],MATCHHISTORIK[V])</f>
        <v>0</v>
      </c>
      <c r="AT90" s="97">
        <f>SUMIF(MATCHHISTORIK[HEMMALAG],Tabell32[[#This Row],[MOTSTÅNDARE]],MATCHHISTORIK[O])</f>
        <v>0</v>
      </c>
      <c r="AU90" s="97">
        <f>SUMIF(MATCHHISTORIK[HEMMALAG],Tabell32[[#This Row],[MOTSTÅNDARE]],MATCHHISTORIK[F])</f>
        <v>0</v>
      </c>
    </row>
    <row r="91" spans="1:47" x14ac:dyDescent="0.25">
      <c r="A91" s="97">
        <v>13</v>
      </c>
      <c r="B91" s="97">
        <v>4</v>
      </c>
      <c r="C91" s="101">
        <v>2015</v>
      </c>
      <c r="D91" s="119">
        <v>42218</v>
      </c>
      <c r="E91" s="116" t="s">
        <v>269</v>
      </c>
      <c r="F91" s="116" t="s">
        <v>254</v>
      </c>
      <c r="G91" s="97">
        <v>4</v>
      </c>
      <c r="H91" s="97">
        <v>6</v>
      </c>
      <c r="I91" s="120">
        <v>2</v>
      </c>
      <c r="J91" s="97">
        <v>10</v>
      </c>
      <c r="K91" s="97">
        <v>3</v>
      </c>
      <c r="L91" s="97">
        <v>1</v>
      </c>
      <c r="M91" s="97">
        <v>1</v>
      </c>
      <c r="AE91" s="116" t="s">
        <v>326</v>
      </c>
      <c r="AF91" s="121">
        <f>COUNTIF(E:F,Tabell32[[#This Row],[MOTSTÅNDARE]])</f>
        <v>1</v>
      </c>
      <c r="AG91" s="121">
        <f>Tabell32[[#This Row],[MS]]+Tabell32[[#This Row],[MS2]]</f>
        <v>-1</v>
      </c>
      <c r="AH91" s="121">
        <f>SUMIF(E:E,Tabell32[[#This Row],[MOTSTÅNDARE]],I:I)</f>
        <v>0</v>
      </c>
      <c r="AI91" s="121">
        <f>SUMIF(F:F,Tabell32[[#This Row],[MOTSTÅNDARE]],I:I)</f>
        <v>-1</v>
      </c>
      <c r="AJ91" s="124">
        <f>Tabell32[[#This Row],[MS ÅHUS IF]]/Tabell32[[#This Row],[ÅHUS MATCHER]]</f>
        <v>-1</v>
      </c>
      <c r="AK91" s="121">
        <f>(Tabell32[[#This Row],[VINST]]*3)+Tabell32[[#This Row],[OAVGJORT]]</f>
        <v>0</v>
      </c>
      <c r="AL91" s="124">
        <f>Tabell32[[#This Row],[POÄNG]]/Tabell32[[#This Row],[ÅHUS MATCHER]]</f>
        <v>0</v>
      </c>
      <c r="AM91" s="121">
        <f>IFERROR(Tabell32[[#This Row],[V H]]+Tabell32[[#This Row],[V B]],"0")</f>
        <v>0</v>
      </c>
      <c r="AN91" s="121">
        <f>IFERROR(Tabell32[[#This Row],[O H]]+Tabell32[[#This Row],[O B]],"0")</f>
        <v>0</v>
      </c>
      <c r="AO91" s="121">
        <f>IFERROR(Tabell32[[#This Row],[F H]]+Tabell32[[#This Row],[F B]],"0")</f>
        <v>1</v>
      </c>
      <c r="AP91" s="121">
        <f>SUMIF(MATCHHISTORIK[BORTALAG],Tabell32[[#This Row],[MOTSTÅNDARE]],MATCHHISTORIK[V])</f>
        <v>0</v>
      </c>
      <c r="AQ91" s="121">
        <f>SUMIF(MATCHHISTORIK[BORTALAG],Tabell32[[#This Row],[MOTSTÅNDARE]],MATCHHISTORIK[O])</f>
        <v>0</v>
      </c>
      <c r="AR91" s="97">
        <f>SUMIF(MATCHHISTORIK[BORTALAG],Tabell32[[#This Row],[MOTSTÅNDARE]],MATCHHISTORIK[F])</f>
        <v>1</v>
      </c>
      <c r="AS91" s="97">
        <f>SUMIF(MATCHHISTORIK[HEMMALAG],Tabell32[[#This Row],[MOTSTÅNDARE]],MATCHHISTORIK[V])</f>
        <v>0</v>
      </c>
      <c r="AT91" s="97">
        <f>SUMIF(MATCHHISTORIK[HEMMALAG],Tabell32[[#This Row],[MOTSTÅNDARE]],MATCHHISTORIK[O])</f>
        <v>0</v>
      </c>
      <c r="AU91" s="97">
        <f>SUMIF(MATCHHISTORIK[HEMMALAG],Tabell32[[#This Row],[MOTSTÅNDARE]],MATCHHISTORIK[F])</f>
        <v>0</v>
      </c>
    </row>
    <row r="92" spans="1:47" x14ac:dyDescent="0.25">
      <c r="A92" s="97">
        <v>10</v>
      </c>
      <c r="B92" s="97">
        <v>4</v>
      </c>
      <c r="C92" s="101">
        <v>2015</v>
      </c>
      <c r="D92" s="119">
        <v>42221</v>
      </c>
      <c r="E92" s="116" t="s">
        <v>259</v>
      </c>
      <c r="F92" s="116" t="s">
        <v>254</v>
      </c>
      <c r="G92" s="97">
        <v>1</v>
      </c>
      <c r="H92" s="97">
        <v>12</v>
      </c>
      <c r="I92" s="120">
        <v>11</v>
      </c>
      <c r="J92" s="97">
        <v>13</v>
      </c>
      <c r="K92" s="97">
        <v>4</v>
      </c>
      <c r="L92" s="97">
        <v>1</v>
      </c>
      <c r="M92" s="97">
        <v>1</v>
      </c>
      <c r="AE92" s="116" t="s">
        <v>327</v>
      </c>
      <c r="AF92" s="121">
        <f>COUNTIF(E:F,Tabell32[[#This Row],[MOTSTÅNDARE]])</f>
        <v>1</v>
      </c>
      <c r="AG92" s="121">
        <f>Tabell32[[#This Row],[MS]]+Tabell32[[#This Row],[MS2]]</f>
        <v>-1</v>
      </c>
      <c r="AH92" s="121">
        <f>SUMIF(E:E,Tabell32[[#This Row],[MOTSTÅNDARE]],I:I)</f>
        <v>-1</v>
      </c>
      <c r="AI92" s="121">
        <f>SUMIF(F:F,Tabell32[[#This Row],[MOTSTÅNDARE]],I:I)</f>
        <v>0</v>
      </c>
      <c r="AJ92" s="124">
        <f>Tabell32[[#This Row],[MS ÅHUS IF]]/Tabell32[[#This Row],[ÅHUS MATCHER]]</f>
        <v>-1</v>
      </c>
      <c r="AK92" s="121">
        <f>(Tabell32[[#This Row],[VINST]]*3)+Tabell32[[#This Row],[OAVGJORT]]</f>
        <v>0</v>
      </c>
      <c r="AL92" s="124">
        <f>Tabell32[[#This Row],[POÄNG]]/Tabell32[[#This Row],[ÅHUS MATCHER]]</f>
        <v>0</v>
      </c>
      <c r="AM92" s="121">
        <f>IFERROR(Tabell32[[#This Row],[V H]]+Tabell32[[#This Row],[V B]],"0")</f>
        <v>0</v>
      </c>
      <c r="AN92" s="121">
        <f>IFERROR(Tabell32[[#This Row],[O H]]+Tabell32[[#This Row],[O B]],"0")</f>
        <v>0</v>
      </c>
      <c r="AO92" s="121">
        <f>IFERROR(Tabell32[[#This Row],[F H]]+Tabell32[[#This Row],[F B]],"0")</f>
        <v>1</v>
      </c>
      <c r="AP92" s="121">
        <f>SUMIF(MATCHHISTORIK[BORTALAG],Tabell32[[#This Row],[MOTSTÅNDARE]],MATCHHISTORIK[V])</f>
        <v>0</v>
      </c>
      <c r="AQ92" s="121">
        <f>SUMIF(MATCHHISTORIK[BORTALAG],Tabell32[[#This Row],[MOTSTÅNDARE]],MATCHHISTORIK[O])</f>
        <v>0</v>
      </c>
      <c r="AR92" s="97">
        <f>SUMIF(MATCHHISTORIK[BORTALAG],Tabell32[[#This Row],[MOTSTÅNDARE]],MATCHHISTORIK[F])</f>
        <v>0</v>
      </c>
      <c r="AS92" s="97">
        <f>SUMIF(MATCHHISTORIK[HEMMALAG],Tabell32[[#This Row],[MOTSTÅNDARE]],MATCHHISTORIK[V])</f>
        <v>0</v>
      </c>
      <c r="AT92" s="97">
        <f>SUMIF(MATCHHISTORIK[HEMMALAG],Tabell32[[#This Row],[MOTSTÅNDARE]],MATCHHISTORIK[O])</f>
        <v>0</v>
      </c>
      <c r="AU92" s="97">
        <f>SUMIF(MATCHHISTORIK[HEMMALAG],Tabell32[[#This Row],[MOTSTÅNDARE]],MATCHHISTORIK[F])</f>
        <v>1</v>
      </c>
    </row>
    <row r="93" spans="1:47" x14ac:dyDescent="0.25">
      <c r="A93" s="97">
        <v>14</v>
      </c>
      <c r="B93" s="97">
        <v>4</v>
      </c>
      <c r="C93" s="101">
        <v>2015</v>
      </c>
      <c r="D93" s="119">
        <v>42225</v>
      </c>
      <c r="E93" s="116" t="s">
        <v>254</v>
      </c>
      <c r="F93" s="116" t="s">
        <v>261</v>
      </c>
      <c r="G93" s="97">
        <v>10</v>
      </c>
      <c r="H93" s="97">
        <v>0</v>
      </c>
      <c r="I93" s="120">
        <v>10</v>
      </c>
      <c r="J93" s="97">
        <v>10</v>
      </c>
      <c r="K93" s="97">
        <v>5</v>
      </c>
      <c r="L93" s="97">
        <v>1</v>
      </c>
      <c r="M93" s="97">
        <v>1</v>
      </c>
      <c r="AE93" s="116" t="s">
        <v>330</v>
      </c>
      <c r="AF93" s="121">
        <f>COUNTIF(E:F,Tabell32[[#This Row],[MOTSTÅNDARE]])</f>
        <v>1</v>
      </c>
      <c r="AG93" s="121">
        <f>Tabell32[[#This Row],[MS]]+Tabell32[[#This Row],[MS2]]</f>
        <v>-7</v>
      </c>
      <c r="AH93" s="121">
        <f>SUMIF(E:E,Tabell32[[#This Row],[MOTSTÅNDARE]],I:I)</f>
        <v>0</v>
      </c>
      <c r="AI93" s="121">
        <f>SUMIF(F:F,Tabell32[[#This Row],[MOTSTÅNDARE]],I:I)</f>
        <v>-7</v>
      </c>
      <c r="AJ93" s="124">
        <f>Tabell32[[#This Row],[MS ÅHUS IF]]/Tabell32[[#This Row],[ÅHUS MATCHER]]</f>
        <v>-7</v>
      </c>
      <c r="AK93" s="121">
        <f>(Tabell32[[#This Row],[VINST]]*3)+Tabell32[[#This Row],[OAVGJORT]]</f>
        <v>0</v>
      </c>
      <c r="AL93" s="124">
        <f>Tabell32[[#This Row],[POÄNG]]/Tabell32[[#This Row],[ÅHUS MATCHER]]</f>
        <v>0</v>
      </c>
      <c r="AM93" s="121">
        <f>IFERROR(Tabell32[[#This Row],[V H]]+Tabell32[[#This Row],[V B]],"0")</f>
        <v>0</v>
      </c>
      <c r="AN93" s="121">
        <f>IFERROR(Tabell32[[#This Row],[O H]]+Tabell32[[#This Row],[O B]],"0")</f>
        <v>0</v>
      </c>
      <c r="AO93" s="121">
        <f>IFERROR(Tabell32[[#This Row],[F H]]+Tabell32[[#This Row],[F B]],"0")</f>
        <v>1</v>
      </c>
      <c r="AP93" s="121">
        <f>SUMIF(MATCHHISTORIK[BORTALAG],Tabell32[[#This Row],[MOTSTÅNDARE]],MATCHHISTORIK[V])</f>
        <v>0</v>
      </c>
      <c r="AQ93" s="121">
        <f>SUMIF(MATCHHISTORIK[BORTALAG],Tabell32[[#This Row],[MOTSTÅNDARE]],MATCHHISTORIK[O])</f>
        <v>0</v>
      </c>
      <c r="AR93" s="97">
        <f>SUMIF(MATCHHISTORIK[BORTALAG],Tabell32[[#This Row],[MOTSTÅNDARE]],MATCHHISTORIK[F])</f>
        <v>1</v>
      </c>
      <c r="AS93" s="97">
        <f>SUMIF(MATCHHISTORIK[HEMMALAG],Tabell32[[#This Row],[MOTSTÅNDARE]],MATCHHISTORIK[V])</f>
        <v>0</v>
      </c>
      <c r="AT93" s="97">
        <f>SUMIF(MATCHHISTORIK[HEMMALAG],Tabell32[[#This Row],[MOTSTÅNDARE]],MATCHHISTORIK[O])</f>
        <v>0</v>
      </c>
      <c r="AU93" s="97">
        <f>SUMIF(MATCHHISTORIK[HEMMALAG],Tabell32[[#This Row],[MOTSTÅNDARE]],MATCHHISTORIK[F])</f>
        <v>0</v>
      </c>
    </row>
    <row r="94" spans="1:47" x14ac:dyDescent="0.25">
      <c r="A94" s="97">
        <v>15</v>
      </c>
      <c r="B94" s="97">
        <v>4</v>
      </c>
      <c r="C94" s="101">
        <v>2015</v>
      </c>
      <c r="D94" s="119">
        <v>42230</v>
      </c>
      <c r="E94" s="116" t="s">
        <v>275</v>
      </c>
      <c r="F94" s="116" t="s">
        <v>254</v>
      </c>
      <c r="G94" s="97">
        <v>1</v>
      </c>
      <c r="H94" s="97">
        <v>2</v>
      </c>
      <c r="I94" s="120">
        <v>1</v>
      </c>
      <c r="J94" s="97">
        <v>3</v>
      </c>
      <c r="K94" s="97">
        <v>6</v>
      </c>
      <c r="L94" s="97">
        <v>1</v>
      </c>
      <c r="M94" s="97">
        <v>1</v>
      </c>
      <c r="AE94" s="116" t="s">
        <v>333</v>
      </c>
      <c r="AF94" s="121">
        <f>COUNTIF(E:F,Tabell32[[#This Row],[MOTSTÅNDARE]])</f>
        <v>1</v>
      </c>
      <c r="AG94" s="121">
        <f>Tabell32[[#This Row],[MS]]+Tabell32[[#This Row],[MS2]]</f>
        <v>-10</v>
      </c>
      <c r="AH94" s="121">
        <f>SUMIF(E:E,Tabell32[[#This Row],[MOTSTÅNDARE]],I:I)</f>
        <v>0</v>
      </c>
      <c r="AI94" s="121">
        <f>SUMIF(F:F,Tabell32[[#This Row],[MOTSTÅNDARE]],I:I)</f>
        <v>-10</v>
      </c>
      <c r="AJ94" s="124">
        <f>Tabell32[[#This Row],[MS ÅHUS IF]]/Tabell32[[#This Row],[ÅHUS MATCHER]]</f>
        <v>-10</v>
      </c>
      <c r="AK94" s="121">
        <f>(Tabell32[[#This Row],[VINST]]*3)+Tabell32[[#This Row],[OAVGJORT]]</f>
        <v>0</v>
      </c>
      <c r="AL94" s="124">
        <f>Tabell32[[#This Row],[POÄNG]]/Tabell32[[#This Row],[ÅHUS MATCHER]]</f>
        <v>0</v>
      </c>
      <c r="AM94" s="121">
        <f>IFERROR(Tabell32[[#This Row],[V H]]+Tabell32[[#This Row],[V B]],"0")</f>
        <v>0</v>
      </c>
      <c r="AN94" s="121">
        <f>IFERROR(Tabell32[[#This Row],[O H]]+Tabell32[[#This Row],[O B]],"0")</f>
        <v>0</v>
      </c>
      <c r="AO94" s="121">
        <f>IFERROR(Tabell32[[#This Row],[F H]]+Tabell32[[#This Row],[F B]],"0")</f>
        <v>1</v>
      </c>
      <c r="AP94" s="121">
        <f>SUMIF(MATCHHISTORIK[BORTALAG],Tabell32[[#This Row],[MOTSTÅNDARE]],MATCHHISTORIK[V])</f>
        <v>0</v>
      </c>
      <c r="AQ94" s="121">
        <f>SUMIF(MATCHHISTORIK[BORTALAG],Tabell32[[#This Row],[MOTSTÅNDARE]],MATCHHISTORIK[O])</f>
        <v>0</v>
      </c>
      <c r="AR94" s="97">
        <f>SUMIF(MATCHHISTORIK[BORTALAG],Tabell32[[#This Row],[MOTSTÅNDARE]],MATCHHISTORIK[F])</f>
        <v>1</v>
      </c>
      <c r="AS94" s="97">
        <f>SUMIF(MATCHHISTORIK[HEMMALAG],Tabell32[[#This Row],[MOTSTÅNDARE]],MATCHHISTORIK[V])</f>
        <v>0</v>
      </c>
      <c r="AT94" s="97">
        <f>SUMIF(MATCHHISTORIK[HEMMALAG],Tabell32[[#This Row],[MOTSTÅNDARE]],MATCHHISTORIK[O])</f>
        <v>0</v>
      </c>
      <c r="AU94" s="97">
        <f>SUMIF(MATCHHISTORIK[HEMMALAG],Tabell32[[#This Row],[MOTSTÅNDARE]],MATCHHISTORIK[F])</f>
        <v>0</v>
      </c>
    </row>
    <row r="95" spans="1:47" x14ac:dyDescent="0.25">
      <c r="A95" s="97">
        <v>16</v>
      </c>
      <c r="B95" s="97">
        <v>4</v>
      </c>
      <c r="C95" s="101">
        <v>2015</v>
      </c>
      <c r="D95" s="119">
        <v>42235</v>
      </c>
      <c r="E95" s="116" t="s">
        <v>254</v>
      </c>
      <c r="F95" s="116" t="s">
        <v>257</v>
      </c>
      <c r="G95" s="97">
        <v>10</v>
      </c>
      <c r="H95" s="97">
        <v>0</v>
      </c>
      <c r="I95" s="120">
        <v>10</v>
      </c>
      <c r="J95" s="97">
        <v>10</v>
      </c>
      <c r="K95" s="97">
        <v>7</v>
      </c>
      <c r="L95" s="97">
        <v>1</v>
      </c>
      <c r="M95" s="97">
        <v>1</v>
      </c>
      <c r="AE95" s="116" t="s">
        <v>329</v>
      </c>
      <c r="AF95" s="121">
        <f>COUNTIF(E:F,Tabell32[[#This Row],[MOTSTÅNDARE]])</f>
        <v>4</v>
      </c>
      <c r="AG95" s="121">
        <f>Tabell32[[#This Row],[MS]]+Tabell32[[#This Row],[MS2]]</f>
        <v>-6</v>
      </c>
      <c r="AH95" s="121">
        <f>SUMIF(E:E,Tabell32[[#This Row],[MOTSTÅNDARE]],I:I)</f>
        <v>-4</v>
      </c>
      <c r="AI95" s="121">
        <f>SUMIF(F:F,Tabell32[[#This Row],[MOTSTÅNDARE]],I:I)</f>
        <v>-2</v>
      </c>
      <c r="AJ95" s="124">
        <f>Tabell32[[#This Row],[MS ÅHUS IF]]/Tabell32[[#This Row],[ÅHUS MATCHER]]</f>
        <v>-1.5</v>
      </c>
      <c r="AK95" s="121">
        <f>(Tabell32[[#This Row],[VINST]]*3)+Tabell32[[#This Row],[OAVGJORT]]</f>
        <v>1</v>
      </c>
      <c r="AL95" s="124">
        <f>Tabell32[[#This Row],[POÄNG]]/Tabell32[[#This Row],[ÅHUS MATCHER]]</f>
        <v>0.25</v>
      </c>
      <c r="AM95" s="121">
        <f>IFERROR(Tabell32[[#This Row],[V H]]+Tabell32[[#This Row],[V B]],"0")</f>
        <v>0</v>
      </c>
      <c r="AN95" s="121">
        <f>IFERROR(Tabell32[[#This Row],[O H]]+Tabell32[[#This Row],[O B]],"0")</f>
        <v>1</v>
      </c>
      <c r="AO95" s="121">
        <f>IFERROR(Tabell32[[#This Row],[F H]]+Tabell32[[#This Row],[F B]],"0")</f>
        <v>3</v>
      </c>
      <c r="AP95" s="121">
        <f>SUMIF(MATCHHISTORIK[BORTALAG],Tabell32[[#This Row],[MOTSTÅNDARE]],MATCHHISTORIK[V])</f>
        <v>0</v>
      </c>
      <c r="AQ95" s="121">
        <f>SUMIF(MATCHHISTORIK[BORTALAG],Tabell32[[#This Row],[MOTSTÅNDARE]],MATCHHISTORIK[O])</f>
        <v>1</v>
      </c>
      <c r="AR95" s="97">
        <f>SUMIF(MATCHHISTORIK[BORTALAG],Tabell32[[#This Row],[MOTSTÅNDARE]],MATCHHISTORIK[F])</f>
        <v>1</v>
      </c>
      <c r="AS95" s="97">
        <f>SUMIF(MATCHHISTORIK[HEMMALAG],Tabell32[[#This Row],[MOTSTÅNDARE]],MATCHHISTORIK[V])</f>
        <v>0</v>
      </c>
      <c r="AT95" s="97">
        <f>SUMIF(MATCHHISTORIK[HEMMALAG],Tabell32[[#This Row],[MOTSTÅNDARE]],MATCHHISTORIK[O])</f>
        <v>0</v>
      </c>
      <c r="AU95" s="97">
        <f>SUMIF(MATCHHISTORIK[HEMMALAG],Tabell32[[#This Row],[MOTSTÅNDARE]],MATCHHISTORIK[F])</f>
        <v>2</v>
      </c>
    </row>
    <row r="96" spans="1:47" x14ac:dyDescent="0.25">
      <c r="A96" s="97">
        <v>17</v>
      </c>
      <c r="B96" s="97">
        <v>4</v>
      </c>
      <c r="C96" s="101">
        <v>2015</v>
      </c>
      <c r="D96" s="119">
        <v>42239</v>
      </c>
      <c r="E96" s="116" t="s">
        <v>318</v>
      </c>
      <c r="F96" s="116" t="s">
        <v>254</v>
      </c>
      <c r="G96" s="97">
        <v>3</v>
      </c>
      <c r="H96" s="97">
        <v>3</v>
      </c>
      <c r="I96" s="120">
        <v>0</v>
      </c>
      <c r="J96" s="97">
        <v>6</v>
      </c>
      <c r="K96" s="97">
        <v>8</v>
      </c>
      <c r="L96" s="97">
        <v>1</v>
      </c>
      <c r="N96" s="97">
        <v>1</v>
      </c>
      <c r="AE96" s="116" t="s">
        <v>392</v>
      </c>
      <c r="AF96" s="121">
        <f>COUNTIF(E:F,Tabell32[[#This Row],[MOTSTÅNDARE]])</f>
        <v>2</v>
      </c>
      <c r="AG96" s="121">
        <f>Tabell32[[#This Row],[MS]]+Tabell32[[#This Row],[MS2]]</f>
        <v>0</v>
      </c>
      <c r="AH96" s="121">
        <f>SUMIF(E:E,Tabell32[[#This Row],[MOTSTÅNDARE]],I:I)</f>
        <v>0</v>
      </c>
      <c r="AI96" s="121">
        <f>SUMIF(F:F,Tabell32[[#This Row],[MOTSTÅNDARE]],I:I)</f>
        <v>0</v>
      </c>
      <c r="AJ96" s="124">
        <f>Tabell32[[#This Row],[MS ÅHUS IF]]/Tabell32[[#This Row],[ÅHUS MATCHER]]</f>
        <v>0</v>
      </c>
      <c r="AK96" s="121">
        <f>(Tabell32[[#This Row],[VINST]]*3)+Tabell32[[#This Row],[OAVGJORT]]</f>
        <v>1</v>
      </c>
      <c r="AL96" s="124">
        <f>Tabell32[[#This Row],[POÄNG]]/Tabell32[[#This Row],[ÅHUS MATCHER]]</f>
        <v>0.5</v>
      </c>
      <c r="AM96" s="121">
        <f>IFERROR(Tabell32[[#This Row],[V H]]+Tabell32[[#This Row],[V B]],"0")</f>
        <v>0</v>
      </c>
      <c r="AN96" s="121">
        <f>IFERROR(Tabell32[[#This Row],[O H]]+Tabell32[[#This Row],[O B]],"0")</f>
        <v>1</v>
      </c>
      <c r="AO96" s="121">
        <f>IFERROR(Tabell32[[#This Row],[F H]]+Tabell32[[#This Row],[F B]],"0")</f>
        <v>0</v>
      </c>
      <c r="AP96" s="121">
        <f>SUMIF(MATCHHISTORIK[BORTALAG],Tabell32[[#This Row],[MOTSTÅNDARE]],MATCHHISTORIK[V])</f>
        <v>0</v>
      </c>
      <c r="AQ96" s="121">
        <f>SUMIF(MATCHHISTORIK[BORTALAG],Tabell32[[#This Row],[MOTSTÅNDARE]],MATCHHISTORIK[O])</f>
        <v>1</v>
      </c>
      <c r="AR96" s="97">
        <f>SUMIF(MATCHHISTORIK[BORTALAG],Tabell32[[#This Row],[MOTSTÅNDARE]],MATCHHISTORIK[F])</f>
        <v>0</v>
      </c>
      <c r="AS96" s="97">
        <f>SUMIF(MATCHHISTORIK[HEMMALAG],Tabell32[[#This Row],[MOTSTÅNDARE]],MATCHHISTORIK[V])</f>
        <v>0</v>
      </c>
      <c r="AT96" s="97">
        <f>SUMIF(MATCHHISTORIK[HEMMALAG],Tabell32[[#This Row],[MOTSTÅNDARE]],MATCHHISTORIK[O])</f>
        <v>0</v>
      </c>
      <c r="AU96" s="97">
        <f>SUMIF(MATCHHISTORIK[HEMMALAG],Tabell32[[#This Row],[MOTSTÅNDARE]],MATCHHISTORIK[F])</f>
        <v>0</v>
      </c>
    </row>
    <row r="97" spans="1:47" x14ac:dyDescent="0.25">
      <c r="A97" s="97">
        <v>18</v>
      </c>
      <c r="B97" s="97">
        <v>4</v>
      </c>
      <c r="C97" s="101">
        <v>2015</v>
      </c>
      <c r="D97" s="119">
        <v>42245</v>
      </c>
      <c r="E97" s="116" t="s">
        <v>254</v>
      </c>
      <c r="F97" s="116" t="s">
        <v>258</v>
      </c>
      <c r="G97" s="97">
        <v>1</v>
      </c>
      <c r="H97" s="97">
        <v>2</v>
      </c>
      <c r="I97" s="120">
        <v>-1</v>
      </c>
      <c r="J97" s="97">
        <v>3</v>
      </c>
      <c r="L97" s="97">
        <v>1</v>
      </c>
      <c r="O97" s="97">
        <v>1</v>
      </c>
      <c r="AE97" s="116" t="s">
        <v>315</v>
      </c>
      <c r="AF97" s="121">
        <f>COUNTIF(E:F,Tabell32[[#This Row],[MOTSTÅNDARE]])</f>
        <v>2</v>
      </c>
      <c r="AG97" s="121">
        <f>Tabell32[[#This Row],[MS]]+Tabell32[[#This Row],[MS2]]</f>
        <v>-1</v>
      </c>
      <c r="AH97" s="121">
        <f>SUMIF(E:E,Tabell32[[#This Row],[MOTSTÅNDARE]],I:I)</f>
        <v>0</v>
      </c>
      <c r="AI97" s="121">
        <f>SUMIF(F:F,Tabell32[[#This Row],[MOTSTÅNDARE]],I:I)</f>
        <v>-1</v>
      </c>
      <c r="AJ97" s="124">
        <f>Tabell32[[#This Row],[MS ÅHUS IF]]/Tabell32[[#This Row],[ÅHUS MATCHER]]</f>
        <v>-0.5</v>
      </c>
      <c r="AK97" s="121">
        <f>(Tabell32[[#This Row],[VINST]]*3)+Tabell32[[#This Row],[OAVGJORT]]</f>
        <v>1</v>
      </c>
      <c r="AL97" s="124">
        <f>Tabell32[[#This Row],[POÄNG]]/Tabell32[[#This Row],[ÅHUS MATCHER]]</f>
        <v>0.5</v>
      </c>
      <c r="AM97" s="121">
        <f>IFERROR(Tabell32[[#This Row],[V H]]+Tabell32[[#This Row],[V B]],"0")</f>
        <v>0</v>
      </c>
      <c r="AN97" s="121">
        <f>IFERROR(Tabell32[[#This Row],[O H]]+Tabell32[[#This Row],[O B]],"0")</f>
        <v>1</v>
      </c>
      <c r="AO97" s="121">
        <f>IFERROR(Tabell32[[#This Row],[F H]]+Tabell32[[#This Row],[F B]],"0")</f>
        <v>1</v>
      </c>
      <c r="AP97" s="121">
        <f>SUMIF(MATCHHISTORIK[BORTALAG],Tabell32[[#This Row],[MOTSTÅNDARE]],MATCHHISTORIK[V])</f>
        <v>0</v>
      </c>
      <c r="AQ97" s="121">
        <f>SUMIF(MATCHHISTORIK[BORTALAG],Tabell32[[#This Row],[MOTSTÅNDARE]],MATCHHISTORIK[O])</f>
        <v>0</v>
      </c>
      <c r="AR97" s="97">
        <f>SUMIF(MATCHHISTORIK[BORTALAG],Tabell32[[#This Row],[MOTSTÅNDARE]],MATCHHISTORIK[F])</f>
        <v>1</v>
      </c>
      <c r="AS97" s="97">
        <f>SUMIF(MATCHHISTORIK[HEMMALAG],Tabell32[[#This Row],[MOTSTÅNDARE]],MATCHHISTORIK[V])</f>
        <v>0</v>
      </c>
      <c r="AT97" s="97">
        <f>SUMIF(MATCHHISTORIK[HEMMALAG],Tabell32[[#This Row],[MOTSTÅNDARE]],MATCHHISTORIK[O])</f>
        <v>1</v>
      </c>
      <c r="AU97" s="97">
        <f>SUMIF(MATCHHISTORIK[HEMMALAG],Tabell32[[#This Row],[MOTSTÅNDARE]],MATCHHISTORIK[F])</f>
        <v>0</v>
      </c>
    </row>
    <row r="98" spans="1:47" x14ac:dyDescent="0.25">
      <c r="A98" s="97">
        <v>20</v>
      </c>
      <c r="B98" s="97">
        <v>4</v>
      </c>
      <c r="C98" s="101">
        <v>2015</v>
      </c>
      <c r="D98" s="119">
        <v>42259</v>
      </c>
      <c r="E98" s="116" t="s">
        <v>328</v>
      </c>
      <c r="F98" s="116" t="s">
        <v>254</v>
      </c>
      <c r="G98" s="97">
        <v>5</v>
      </c>
      <c r="H98" s="97">
        <v>4</v>
      </c>
      <c r="I98" s="120">
        <v>-1</v>
      </c>
      <c r="J98" s="97">
        <v>9</v>
      </c>
      <c r="L98" s="97">
        <v>1</v>
      </c>
      <c r="O98" s="97">
        <v>1</v>
      </c>
      <c r="AE98" s="116" t="s">
        <v>325</v>
      </c>
      <c r="AF98" s="121">
        <f>COUNTIF(E:F,Tabell32[[#This Row],[MOTSTÅNDARE]])</f>
        <v>2</v>
      </c>
      <c r="AG98" s="121">
        <f>Tabell32[[#This Row],[MS]]+Tabell32[[#This Row],[MS2]]</f>
        <v>-1</v>
      </c>
      <c r="AH98" s="121">
        <f>SUMIF(E:E,Tabell32[[#This Row],[MOTSTÅNDARE]],I:I)</f>
        <v>-1</v>
      </c>
      <c r="AI98" s="121">
        <f>SUMIF(F:F,Tabell32[[#This Row],[MOTSTÅNDARE]],I:I)</f>
        <v>0</v>
      </c>
      <c r="AJ98" s="124">
        <f>Tabell32[[#This Row],[MS ÅHUS IF]]/Tabell32[[#This Row],[ÅHUS MATCHER]]</f>
        <v>-0.5</v>
      </c>
      <c r="AK98" s="121">
        <f>(Tabell32[[#This Row],[VINST]]*3)+Tabell32[[#This Row],[OAVGJORT]]</f>
        <v>1</v>
      </c>
      <c r="AL98" s="124">
        <f>Tabell32[[#This Row],[POÄNG]]/Tabell32[[#This Row],[ÅHUS MATCHER]]</f>
        <v>0.5</v>
      </c>
      <c r="AM98" s="121">
        <f>IFERROR(Tabell32[[#This Row],[V H]]+Tabell32[[#This Row],[V B]],"0")</f>
        <v>0</v>
      </c>
      <c r="AN98" s="121">
        <f>IFERROR(Tabell32[[#This Row],[O H]]+Tabell32[[#This Row],[O B]],"0")</f>
        <v>1</v>
      </c>
      <c r="AO98" s="121">
        <f>IFERROR(Tabell32[[#This Row],[F H]]+Tabell32[[#This Row],[F B]],"0")</f>
        <v>1</v>
      </c>
      <c r="AP98" s="121">
        <f>SUMIF(MATCHHISTORIK[BORTALAG],Tabell32[[#This Row],[MOTSTÅNDARE]],MATCHHISTORIK[V])</f>
        <v>0</v>
      </c>
      <c r="AQ98" s="121">
        <f>SUMIF(MATCHHISTORIK[BORTALAG],Tabell32[[#This Row],[MOTSTÅNDARE]],MATCHHISTORIK[O])</f>
        <v>1</v>
      </c>
      <c r="AR98" s="97">
        <f>SUMIF(MATCHHISTORIK[BORTALAG],Tabell32[[#This Row],[MOTSTÅNDARE]],MATCHHISTORIK[F])</f>
        <v>0</v>
      </c>
      <c r="AS98" s="97">
        <f>SUMIF(MATCHHISTORIK[HEMMALAG],Tabell32[[#This Row],[MOTSTÅNDARE]],MATCHHISTORIK[V])</f>
        <v>0</v>
      </c>
      <c r="AT98" s="97">
        <f>SUMIF(MATCHHISTORIK[HEMMALAG],Tabell32[[#This Row],[MOTSTÅNDARE]],MATCHHISTORIK[O])</f>
        <v>0</v>
      </c>
      <c r="AU98" s="97">
        <f>SUMIF(MATCHHISTORIK[HEMMALAG],Tabell32[[#This Row],[MOTSTÅNDARE]],MATCHHISTORIK[F])</f>
        <v>1</v>
      </c>
    </row>
    <row r="99" spans="1:47" x14ac:dyDescent="0.25">
      <c r="A99" s="97">
        <v>21</v>
      </c>
      <c r="B99" s="97">
        <v>4</v>
      </c>
      <c r="C99" s="101">
        <v>2015</v>
      </c>
      <c r="D99" s="119">
        <v>42266</v>
      </c>
      <c r="E99" s="116" t="s">
        <v>254</v>
      </c>
      <c r="F99" s="116" t="s">
        <v>259</v>
      </c>
      <c r="G99" s="97">
        <v>11</v>
      </c>
      <c r="H99" s="97">
        <v>1</v>
      </c>
      <c r="I99" s="120">
        <v>10</v>
      </c>
      <c r="J99" s="97">
        <v>12</v>
      </c>
      <c r="K99" s="97">
        <v>1</v>
      </c>
      <c r="L99" s="97">
        <v>1</v>
      </c>
      <c r="M99" s="97">
        <v>1</v>
      </c>
      <c r="AE99" s="116" t="s">
        <v>313</v>
      </c>
      <c r="AF99" s="121">
        <f>COUNTIF(E:F,Tabell32[[#This Row],[MOTSTÅNDARE]])</f>
        <v>2</v>
      </c>
      <c r="AG99" s="121">
        <f>Tabell32[[#This Row],[MS]]+Tabell32[[#This Row],[MS2]]</f>
        <v>-2</v>
      </c>
      <c r="AH99" s="121">
        <f>SUMIF(E:E,Tabell32[[#This Row],[MOTSTÅNDARE]],I:I)</f>
        <v>-2</v>
      </c>
      <c r="AI99" s="121">
        <f>SUMIF(F:F,Tabell32[[#This Row],[MOTSTÅNDARE]],I:I)</f>
        <v>0</v>
      </c>
      <c r="AJ99" s="124">
        <f>Tabell32[[#This Row],[MS ÅHUS IF]]/Tabell32[[#This Row],[ÅHUS MATCHER]]</f>
        <v>-1</v>
      </c>
      <c r="AK99" s="121">
        <f>(Tabell32[[#This Row],[VINST]]*3)+Tabell32[[#This Row],[OAVGJORT]]</f>
        <v>1</v>
      </c>
      <c r="AL99" s="124">
        <f>Tabell32[[#This Row],[POÄNG]]/Tabell32[[#This Row],[ÅHUS MATCHER]]</f>
        <v>0.5</v>
      </c>
      <c r="AM99" s="121">
        <f>IFERROR(Tabell32[[#This Row],[V H]]+Tabell32[[#This Row],[V B]],"0")</f>
        <v>0</v>
      </c>
      <c r="AN99" s="121">
        <f>IFERROR(Tabell32[[#This Row],[O H]]+Tabell32[[#This Row],[O B]],"0")</f>
        <v>1</v>
      </c>
      <c r="AO99" s="121">
        <f>IFERROR(Tabell32[[#This Row],[F H]]+Tabell32[[#This Row],[F B]],"0")</f>
        <v>1</v>
      </c>
      <c r="AP99" s="121">
        <f>SUMIF(MATCHHISTORIK[BORTALAG],Tabell32[[#This Row],[MOTSTÅNDARE]],MATCHHISTORIK[V])</f>
        <v>0</v>
      </c>
      <c r="AQ99" s="121">
        <f>SUMIF(MATCHHISTORIK[BORTALAG],Tabell32[[#This Row],[MOTSTÅNDARE]],MATCHHISTORIK[O])</f>
        <v>1</v>
      </c>
      <c r="AR99" s="97">
        <f>SUMIF(MATCHHISTORIK[BORTALAG],Tabell32[[#This Row],[MOTSTÅNDARE]],MATCHHISTORIK[F])</f>
        <v>0</v>
      </c>
      <c r="AS99" s="97">
        <f>SUMIF(MATCHHISTORIK[HEMMALAG],Tabell32[[#This Row],[MOTSTÅNDARE]],MATCHHISTORIK[V])</f>
        <v>0</v>
      </c>
      <c r="AT99" s="97">
        <f>SUMIF(MATCHHISTORIK[HEMMALAG],Tabell32[[#This Row],[MOTSTÅNDARE]],MATCHHISTORIK[O])</f>
        <v>0</v>
      </c>
      <c r="AU99" s="97">
        <f>SUMIF(MATCHHISTORIK[HEMMALAG],Tabell32[[#This Row],[MOTSTÅNDARE]],MATCHHISTORIK[F])</f>
        <v>1</v>
      </c>
    </row>
    <row r="100" spans="1:47" x14ac:dyDescent="0.25">
      <c r="A100" s="97">
        <v>22</v>
      </c>
      <c r="B100" s="97">
        <v>4</v>
      </c>
      <c r="C100" s="101">
        <v>2015</v>
      </c>
      <c r="D100" s="119">
        <v>42274</v>
      </c>
      <c r="E100" s="116" t="s">
        <v>271</v>
      </c>
      <c r="F100" s="116" t="s">
        <v>254</v>
      </c>
      <c r="G100" s="97">
        <v>1</v>
      </c>
      <c r="H100" s="97">
        <v>0</v>
      </c>
      <c r="I100" s="120">
        <v>-1</v>
      </c>
      <c r="J100" s="97">
        <v>1</v>
      </c>
      <c r="L100" s="97"/>
      <c r="O100" s="97">
        <v>1</v>
      </c>
      <c r="AE100" s="116" t="s">
        <v>260</v>
      </c>
      <c r="AF100" s="121">
        <f>COUNTIF(E:F,Tabell32[[#This Row],[MOTSTÅNDARE]])</f>
        <v>2</v>
      </c>
      <c r="AG100" s="121">
        <f>Tabell32[[#This Row],[MS]]+Tabell32[[#This Row],[MS2]]</f>
        <v>-2</v>
      </c>
      <c r="AH100" s="121">
        <f>SUMIF(E:E,Tabell32[[#This Row],[MOTSTÅNDARE]],I:I)</f>
        <v>-2</v>
      </c>
      <c r="AI100" s="121">
        <f>SUMIF(F:F,Tabell32[[#This Row],[MOTSTÅNDARE]],I:I)</f>
        <v>0</v>
      </c>
      <c r="AJ100" s="124">
        <f>Tabell32[[#This Row],[MS ÅHUS IF]]/Tabell32[[#This Row],[ÅHUS MATCHER]]</f>
        <v>-1</v>
      </c>
      <c r="AK100" s="121">
        <f>(Tabell32[[#This Row],[VINST]]*3)+Tabell32[[#This Row],[OAVGJORT]]</f>
        <v>1</v>
      </c>
      <c r="AL100" s="124">
        <f>Tabell32[[#This Row],[POÄNG]]/Tabell32[[#This Row],[ÅHUS MATCHER]]</f>
        <v>0.5</v>
      </c>
      <c r="AM100" s="121">
        <f>IFERROR(Tabell32[[#This Row],[V H]]+Tabell32[[#This Row],[V B]],"0")</f>
        <v>0</v>
      </c>
      <c r="AN100" s="121">
        <f>IFERROR(Tabell32[[#This Row],[O H]]+Tabell32[[#This Row],[O B]],"0")</f>
        <v>1</v>
      </c>
      <c r="AO100" s="121">
        <f>IFERROR(Tabell32[[#This Row],[F H]]+Tabell32[[#This Row],[F B]],"0")</f>
        <v>1</v>
      </c>
      <c r="AP100" s="121">
        <f>SUMIF(MATCHHISTORIK[BORTALAG],Tabell32[[#This Row],[MOTSTÅNDARE]],MATCHHISTORIK[V])</f>
        <v>0</v>
      </c>
      <c r="AQ100" s="121">
        <f>SUMIF(MATCHHISTORIK[BORTALAG],Tabell32[[#This Row],[MOTSTÅNDARE]],MATCHHISTORIK[O])</f>
        <v>1</v>
      </c>
      <c r="AR100" s="97">
        <f>SUMIF(MATCHHISTORIK[BORTALAG],Tabell32[[#This Row],[MOTSTÅNDARE]],MATCHHISTORIK[F])</f>
        <v>0</v>
      </c>
      <c r="AS100" s="97">
        <f>SUMIF(MATCHHISTORIK[HEMMALAG],Tabell32[[#This Row],[MOTSTÅNDARE]],MATCHHISTORIK[V])</f>
        <v>0</v>
      </c>
      <c r="AT100" s="97">
        <f>SUMIF(MATCHHISTORIK[HEMMALAG],Tabell32[[#This Row],[MOTSTÅNDARE]],MATCHHISTORIK[O])</f>
        <v>0</v>
      </c>
      <c r="AU100" s="97">
        <f>SUMIF(MATCHHISTORIK[HEMMALAG],Tabell32[[#This Row],[MOTSTÅNDARE]],MATCHHISTORIK[F])</f>
        <v>1</v>
      </c>
    </row>
    <row r="101" spans="1:47" x14ac:dyDescent="0.25">
      <c r="A101" s="97">
        <v>1</v>
      </c>
      <c r="B101" s="97">
        <v>4</v>
      </c>
      <c r="C101" s="101">
        <v>2016</v>
      </c>
      <c r="D101" s="119">
        <v>42477</v>
      </c>
      <c r="E101" s="116" t="s">
        <v>255</v>
      </c>
      <c r="F101" s="116" t="s">
        <v>254</v>
      </c>
      <c r="G101" s="97">
        <v>2</v>
      </c>
      <c r="H101" s="97">
        <v>2</v>
      </c>
      <c r="I101" s="120">
        <v>0</v>
      </c>
      <c r="J101" s="97">
        <v>4</v>
      </c>
      <c r="K101" s="97">
        <v>1</v>
      </c>
      <c r="L101" s="97">
        <v>1</v>
      </c>
      <c r="N101" s="97">
        <v>1</v>
      </c>
      <c r="AE101" s="116" t="s">
        <v>291</v>
      </c>
      <c r="AF101" s="121">
        <f>COUNTIF(E:F,Tabell32[[#This Row],[MOTSTÅNDARE]])</f>
        <v>2</v>
      </c>
      <c r="AG101" s="121">
        <f>Tabell32[[#This Row],[MS]]+Tabell32[[#This Row],[MS2]]</f>
        <v>-4</v>
      </c>
      <c r="AH101" s="121">
        <f>SUMIF(E:E,Tabell32[[#This Row],[MOTSTÅNDARE]],I:I)</f>
        <v>-4</v>
      </c>
      <c r="AI101" s="121">
        <f>SUMIF(F:F,Tabell32[[#This Row],[MOTSTÅNDARE]],I:I)</f>
        <v>0</v>
      </c>
      <c r="AJ101" s="124">
        <f>Tabell32[[#This Row],[MS ÅHUS IF]]/Tabell32[[#This Row],[ÅHUS MATCHER]]</f>
        <v>-2</v>
      </c>
      <c r="AK101" s="121">
        <f>(Tabell32[[#This Row],[VINST]]*3)+Tabell32[[#This Row],[OAVGJORT]]</f>
        <v>1</v>
      </c>
      <c r="AL101" s="124">
        <f>Tabell32[[#This Row],[POÄNG]]/Tabell32[[#This Row],[ÅHUS MATCHER]]</f>
        <v>0.5</v>
      </c>
      <c r="AM101" s="121">
        <f>IFERROR(Tabell32[[#This Row],[V H]]+Tabell32[[#This Row],[V B]],"0")</f>
        <v>0</v>
      </c>
      <c r="AN101" s="121">
        <f>IFERROR(Tabell32[[#This Row],[O H]]+Tabell32[[#This Row],[O B]],"0")</f>
        <v>1</v>
      </c>
      <c r="AO101" s="121">
        <f>IFERROR(Tabell32[[#This Row],[F H]]+Tabell32[[#This Row],[F B]],"0")</f>
        <v>1</v>
      </c>
      <c r="AP101" s="121">
        <f>SUMIF(MATCHHISTORIK[BORTALAG],Tabell32[[#This Row],[MOTSTÅNDARE]],MATCHHISTORIK[V])</f>
        <v>0</v>
      </c>
      <c r="AQ101" s="121">
        <f>SUMIF(MATCHHISTORIK[BORTALAG],Tabell32[[#This Row],[MOTSTÅNDARE]],MATCHHISTORIK[O])</f>
        <v>1</v>
      </c>
      <c r="AR101" s="97">
        <f>SUMIF(MATCHHISTORIK[BORTALAG],Tabell32[[#This Row],[MOTSTÅNDARE]],MATCHHISTORIK[F])</f>
        <v>0</v>
      </c>
      <c r="AS101" s="97">
        <f>SUMIF(MATCHHISTORIK[HEMMALAG],Tabell32[[#This Row],[MOTSTÅNDARE]],MATCHHISTORIK[V])</f>
        <v>0</v>
      </c>
      <c r="AT101" s="97">
        <f>SUMIF(MATCHHISTORIK[HEMMALAG],Tabell32[[#This Row],[MOTSTÅNDARE]],MATCHHISTORIK[O])</f>
        <v>0</v>
      </c>
      <c r="AU101" s="97">
        <f>SUMIF(MATCHHISTORIK[HEMMALAG],Tabell32[[#This Row],[MOTSTÅNDARE]],MATCHHISTORIK[F])</f>
        <v>1</v>
      </c>
    </row>
    <row r="102" spans="1:47" x14ac:dyDescent="0.25">
      <c r="A102" s="97">
        <v>2</v>
      </c>
      <c r="B102" s="97">
        <v>4</v>
      </c>
      <c r="C102" s="101">
        <v>2016</v>
      </c>
      <c r="D102" s="119">
        <v>42482</v>
      </c>
      <c r="E102" s="116" t="s">
        <v>254</v>
      </c>
      <c r="F102" s="116" t="s">
        <v>257</v>
      </c>
      <c r="G102" s="97">
        <v>2</v>
      </c>
      <c r="H102" s="97">
        <v>0</v>
      </c>
      <c r="I102" s="120">
        <v>2</v>
      </c>
      <c r="J102" s="97">
        <v>2</v>
      </c>
      <c r="K102" s="97">
        <v>2</v>
      </c>
      <c r="L102" s="97">
        <v>1</v>
      </c>
      <c r="M102" s="97">
        <v>1</v>
      </c>
      <c r="AE102" s="116" t="s">
        <v>264</v>
      </c>
      <c r="AF102" s="121">
        <f>COUNTIF(E:F,Tabell32[[#This Row],[MOTSTÅNDARE]])</f>
        <v>2</v>
      </c>
      <c r="AG102" s="121">
        <f>Tabell32[[#This Row],[MS]]+Tabell32[[#This Row],[MS2]]</f>
        <v>0</v>
      </c>
      <c r="AH102" s="121">
        <f>SUMIF(E:E,Tabell32[[#This Row],[MOTSTÅNDARE]],I:I)</f>
        <v>0</v>
      </c>
      <c r="AI102" s="121">
        <f>SUMIF(F:F,Tabell32[[#This Row],[MOTSTÅNDARE]],I:I)</f>
        <v>0</v>
      </c>
      <c r="AJ102" s="124">
        <f>Tabell32[[#This Row],[MS ÅHUS IF]]/Tabell32[[#This Row],[ÅHUS MATCHER]]</f>
        <v>0</v>
      </c>
      <c r="AK102" s="121">
        <f>(Tabell32[[#This Row],[VINST]]*3)+Tabell32[[#This Row],[OAVGJORT]]</f>
        <v>2</v>
      </c>
      <c r="AL102" s="124">
        <f>Tabell32[[#This Row],[POÄNG]]/Tabell32[[#This Row],[ÅHUS MATCHER]]</f>
        <v>1</v>
      </c>
      <c r="AM102" s="121">
        <f>IFERROR(Tabell32[[#This Row],[V H]]+Tabell32[[#This Row],[V B]],"0")</f>
        <v>0</v>
      </c>
      <c r="AN102" s="121">
        <f>IFERROR(Tabell32[[#This Row],[O H]]+Tabell32[[#This Row],[O B]],"0")</f>
        <v>2</v>
      </c>
      <c r="AO102" s="121">
        <f>IFERROR(Tabell32[[#This Row],[F H]]+Tabell32[[#This Row],[F B]],"0")</f>
        <v>0</v>
      </c>
      <c r="AP102" s="121">
        <f>SUMIF(MATCHHISTORIK[BORTALAG],Tabell32[[#This Row],[MOTSTÅNDARE]],MATCHHISTORIK[V])</f>
        <v>0</v>
      </c>
      <c r="AQ102" s="121">
        <f>SUMIF(MATCHHISTORIK[BORTALAG],Tabell32[[#This Row],[MOTSTÅNDARE]],MATCHHISTORIK[O])</f>
        <v>1</v>
      </c>
      <c r="AR102" s="97">
        <f>SUMIF(MATCHHISTORIK[BORTALAG],Tabell32[[#This Row],[MOTSTÅNDARE]],MATCHHISTORIK[F])</f>
        <v>0</v>
      </c>
      <c r="AS102" s="97">
        <f>SUMIF(MATCHHISTORIK[HEMMALAG],Tabell32[[#This Row],[MOTSTÅNDARE]],MATCHHISTORIK[V])</f>
        <v>0</v>
      </c>
      <c r="AT102" s="97">
        <f>SUMIF(MATCHHISTORIK[HEMMALAG],Tabell32[[#This Row],[MOTSTÅNDARE]],MATCHHISTORIK[O])</f>
        <v>1</v>
      </c>
      <c r="AU102" s="97">
        <f>SUMIF(MATCHHISTORIK[HEMMALAG],Tabell32[[#This Row],[MOTSTÅNDARE]],MATCHHISTORIK[F])</f>
        <v>0</v>
      </c>
    </row>
    <row r="103" spans="1:47" x14ac:dyDescent="0.25">
      <c r="A103" s="97">
        <v>3</v>
      </c>
      <c r="B103" s="97">
        <v>4</v>
      </c>
      <c r="C103" s="101">
        <v>2016</v>
      </c>
      <c r="D103" s="119">
        <v>42490</v>
      </c>
      <c r="E103" s="116" t="s">
        <v>254</v>
      </c>
      <c r="F103" s="116" t="s">
        <v>271</v>
      </c>
      <c r="G103" s="97">
        <v>4</v>
      </c>
      <c r="H103" s="97">
        <v>2</v>
      </c>
      <c r="I103" s="120">
        <v>2</v>
      </c>
      <c r="J103" s="97">
        <v>6</v>
      </c>
      <c r="K103" s="97">
        <v>3</v>
      </c>
      <c r="L103" s="97">
        <v>1</v>
      </c>
      <c r="M103" s="97">
        <v>1</v>
      </c>
      <c r="AE103" s="116" t="s">
        <v>268</v>
      </c>
      <c r="AF103" s="121">
        <f>COUNTIF(E:F,Tabell32[[#This Row],[MOTSTÅNDARE]])</f>
        <v>2</v>
      </c>
      <c r="AG103" s="121">
        <f>Tabell32[[#This Row],[MS]]+Tabell32[[#This Row],[MS2]]</f>
        <v>0</v>
      </c>
      <c r="AH103" s="121">
        <f>SUMIF(E:E,Tabell32[[#This Row],[MOTSTÅNDARE]],I:I)</f>
        <v>0</v>
      </c>
      <c r="AI103" s="121">
        <f>SUMIF(F:F,Tabell32[[#This Row],[MOTSTÅNDARE]],I:I)</f>
        <v>0</v>
      </c>
      <c r="AJ103" s="124">
        <f>Tabell32[[#This Row],[MS ÅHUS IF]]/Tabell32[[#This Row],[ÅHUS MATCHER]]</f>
        <v>0</v>
      </c>
      <c r="AK103" s="121">
        <f>(Tabell32[[#This Row],[VINST]]*3)+Tabell32[[#This Row],[OAVGJORT]]</f>
        <v>2</v>
      </c>
      <c r="AL103" s="124">
        <f>Tabell32[[#This Row],[POÄNG]]/Tabell32[[#This Row],[ÅHUS MATCHER]]</f>
        <v>1</v>
      </c>
      <c r="AM103" s="121">
        <f>IFERROR(Tabell32[[#This Row],[V H]]+Tabell32[[#This Row],[V B]],"0")</f>
        <v>0</v>
      </c>
      <c r="AN103" s="121">
        <f>IFERROR(Tabell32[[#This Row],[O H]]+Tabell32[[#This Row],[O B]],"0")</f>
        <v>2</v>
      </c>
      <c r="AO103" s="121">
        <f>IFERROR(Tabell32[[#This Row],[F H]]+Tabell32[[#This Row],[F B]],"0")</f>
        <v>0</v>
      </c>
      <c r="AP103" s="121">
        <f>SUMIF(MATCHHISTORIK[BORTALAG],Tabell32[[#This Row],[MOTSTÅNDARE]],MATCHHISTORIK[V])</f>
        <v>0</v>
      </c>
      <c r="AQ103" s="121">
        <f>SUMIF(MATCHHISTORIK[BORTALAG],Tabell32[[#This Row],[MOTSTÅNDARE]],MATCHHISTORIK[O])</f>
        <v>1</v>
      </c>
      <c r="AR103" s="97">
        <f>SUMIF(MATCHHISTORIK[BORTALAG],Tabell32[[#This Row],[MOTSTÅNDARE]],MATCHHISTORIK[F])</f>
        <v>0</v>
      </c>
      <c r="AS103" s="97">
        <f>SUMIF(MATCHHISTORIK[HEMMALAG],Tabell32[[#This Row],[MOTSTÅNDARE]],MATCHHISTORIK[V])</f>
        <v>0</v>
      </c>
      <c r="AT103" s="97">
        <f>SUMIF(MATCHHISTORIK[HEMMALAG],Tabell32[[#This Row],[MOTSTÅNDARE]],MATCHHISTORIK[O])</f>
        <v>1</v>
      </c>
      <c r="AU103" s="97">
        <f>SUMIF(MATCHHISTORIK[HEMMALAG],Tabell32[[#This Row],[MOTSTÅNDARE]],MATCHHISTORIK[F])</f>
        <v>0</v>
      </c>
    </row>
    <row r="104" spans="1:47" x14ac:dyDescent="0.25">
      <c r="A104" s="97">
        <v>5</v>
      </c>
      <c r="B104" s="97">
        <v>4</v>
      </c>
      <c r="C104" s="101">
        <v>2016</v>
      </c>
      <c r="D104" s="119">
        <v>42503</v>
      </c>
      <c r="E104" s="116" t="s">
        <v>267</v>
      </c>
      <c r="F104" s="116" t="s">
        <v>254</v>
      </c>
      <c r="G104" s="97">
        <v>1</v>
      </c>
      <c r="H104" s="97">
        <v>5</v>
      </c>
      <c r="I104" s="120">
        <v>4</v>
      </c>
      <c r="J104" s="97">
        <v>6</v>
      </c>
      <c r="K104" s="97">
        <v>4</v>
      </c>
      <c r="L104" s="97">
        <v>1</v>
      </c>
      <c r="M104" s="97">
        <v>1</v>
      </c>
      <c r="AE104" s="116" t="s">
        <v>321</v>
      </c>
      <c r="AF104" s="121">
        <f>COUNTIF(E:F,Tabell32[[#This Row],[MOTSTÅNDARE]])</f>
        <v>1</v>
      </c>
      <c r="AG104" s="121">
        <f>Tabell32[[#This Row],[MS]]+Tabell32[[#This Row],[MS2]]</f>
        <v>0</v>
      </c>
      <c r="AH104" s="121">
        <f>SUMIF(E:E,Tabell32[[#This Row],[MOTSTÅNDARE]],I:I)</f>
        <v>0</v>
      </c>
      <c r="AI104" s="121">
        <f>SUMIF(F:F,Tabell32[[#This Row],[MOTSTÅNDARE]],I:I)</f>
        <v>0</v>
      </c>
      <c r="AJ104" s="124">
        <f>Tabell32[[#This Row],[MS ÅHUS IF]]/Tabell32[[#This Row],[ÅHUS MATCHER]]</f>
        <v>0</v>
      </c>
      <c r="AK104" s="121">
        <f>(Tabell32[[#This Row],[VINST]]*3)+Tabell32[[#This Row],[OAVGJORT]]</f>
        <v>1</v>
      </c>
      <c r="AL104" s="124">
        <f>Tabell32[[#This Row],[POÄNG]]/Tabell32[[#This Row],[ÅHUS MATCHER]]</f>
        <v>1</v>
      </c>
      <c r="AM104" s="121">
        <f>IFERROR(Tabell32[[#This Row],[V H]]+Tabell32[[#This Row],[V B]],"0")</f>
        <v>0</v>
      </c>
      <c r="AN104" s="121">
        <f>IFERROR(Tabell32[[#This Row],[O H]]+Tabell32[[#This Row],[O B]],"0")</f>
        <v>1</v>
      </c>
      <c r="AO104" s="121">
        <f>IFERROR(Tabell32[[#This Row],[F H]]+Tabell32[[#This Row],[F B]],"0")</f>
        <v>0</v>
      </c>
      <c r="AP104" s="121">
        <f>SUMIF(MATCHHISTORIK[BORTALAG],Tabell32[[#This Row],[MOTSTÅNDARE]],MATCHHISTORIK[V])</f>
        <v>0</v>
      </c>
      <c r="AQ104" s="121">
        <f>SUMIF(MATCHHISTORIK[BORTALAG],Tabell32[[#This Row],[MOTSTÅNDARE]],MATCHHISTORIK[O])</f>
        <v>0</v>
      </c>
      <c r="AR104" s="97">
        <f>SUMIF(MATCHHISTORIK[BORTALAG],Tabell32[[#This Row],[MOTSTÅNDARE]],MATCHHISTORIK[F])</f>
        <v>0</v>
      </c>
      <c r="AS104" s="97">
        <f>SUMIF(MATCHHISTORIK[HEMMALAG],Tabell32[[#This Row],[MOTSTÅNDARE]],MATCHHISTORIK[V])</f>
        <v>0</v>
      </c>
      <c r="AT104" s="97">
        <f>SUMIF(MATCHHISTORIK[HEMMALAG],Tabell32[[#This Row],[MOTSTÅNDARE]],MATCHHISTORIK[O])</f>
        <v>1</v>
      </c>
      <c r="AU104" s="97">
        <f>SUMIF(MATCHHISTORIK[HEMMALAG],Tabell32[[#This Row],[MOTSTÅNDARE]],MATCHHISTORIK[F])</f>
        <v>0</v>
      </c>
    </row>
    <row r="105" spans="1:47" x14ac:dyDescent="0.25">
      <c r="A105" s="97">
        <v>6</v>
      </c>
      <c r="B105" s="97">
        <v>4</v>
      </c>
      <c r="C105" s="101">
        <v>2016</v>
      </c>
      <c r="D105" s="119">
        <v>42510</v>
      </c>
      <c r="E105" s="116" t="s">
        <v>254</v>
      </c>
      <c r="F105" s="116" t="s">
        <v>297</v>
      </c>
      <c r="G105" s="97">
        <v>3</v>
      </c>
      <c r="H105" s="97">
        <v>6</v>
      </c>
      <c r="I105" s="120">
        <v>-3</v>
      </c>
      <c r="J105" s="97">
        <v>9</v>
      </c>
      <c r="L105" s="97">
        <v>1</v>
      </c>
      <c r="O105" s="97">
        <v>1</v>
      </c>
      <c r="AE105" s="116" t="s">
        <v>322</v>
      </c>
      <c r="AF105" s="121">
        <f>COUNTIF(E:F,Tabell32[[#This Row],[MOTSTÅNDARE]])</f>
        <v>1</v>
      </c>
      <c r="AG105" s="121">
        <f>Tabell32[[#This Row],[MS]]+Tabell32[[#This Row],[MS2]]</f>
        <v>0</v>
      </c>
      <c r="AH105" s="121">
        <f>SUMIF(E:E,Tabell32[[#This Row],[MOTSTÅNDARE]],I:I)</f>
        <v>0</v>
      </c>
      <c r="AI105" s="121">
        <f>SUMIF(F:F,Tabell32[[#This Row],[MOTSTÅNDARE]],I:I)</f>
        <v>0</v>
      </c>
      <c r="AJ105" s="124">
        <f>Tabell32[[#This Row],[MS ÅHUS IF]]/Tabell32[[#This Row],[ÅHUS MATCHER]]</f>
        <v>0</v>
      </c>
      <c r="AK105" s="121">
        <f>(Tabell32[[#This Row],[VINST]]*3)+Tabell32[[#This Row],[OAVGJORT]]</f>
        <v>1</v>
      </c>
      <c r="AL105" s="124">
        <f>Tabell32[[#This Row],[POÄNG]]/Tabell32[[#This Row],[ÅHUS MATCHER]]</f>
        <v>1</v>
      </c>
      <c r="AM105" s="121">
        <f>IFERROR(Tabell32[[#This Row],[V H]]+Tabell32[[#This Row],[V B]],"0")</f>
        <v>0</v>
      </c>
      <c r="AN105" s="121">
        <f>IFERROR(Tabell32[[#This Row],[O H]]+Tabell32[[#This Row],[O B]],"0")</f>
        <v>1</v>
      </c>
      <c r="AO105" s="121">
        <f>IFERROR(Tabell32[[#This Row],[F H]]+Tabell32[[#This Row],[F B]],"0")</f>
        <v>0</v>
      </c>
      <c r="AP105" s="121">
        <f>SUMIF(MATCHHISTORIK[BORTALAG],Tabell32[[#This Row],[MOTSTÅNDARE]],MATCHHISTORIK[V])</f>
        <v>0</v>
      </c>
      <c r="AQ105" s="121">
        <f>SUMIF(MATCHHISTORIK[BORTALAG],Tabell32[[#This Row],[MOTSTÅNDARE]],MATCHHISTORIK[O])</f>
        <v>1</v>
      </c>
      <c r="AR105" s="97">
        <f>SUMIF(MATCHHISTORIK[BORTALAG],Tabell32[[#This Row],[MOTSTÅNDARE]],MATCHHISTORIK[F])</f>
        <v>0</v>
      </c>
      <c r="AS105" s="97">
        <f>SUMIF(MATCHHISTORIK[HEMMALAG],Tabell32[[#This Row],[MOTSTÅNDARE]],MATCHHISTORIK[V])</f>
        <v>0</v>
      </c>
      <c r="AT105" s="97">
        <f>SUMIF(MATCHHISTORIK[HEMMALAG],Tabell32[[#This Row],[MOTSTÅNDARE]],MATCHHISTORIK[O])</f>
        <v>0</v>
      </c>
      <c r="AU105" s="97">
        <f>SUMIF(MATCHHISTORIK[HEMMALAG],Tabell32[[#This Row],[MOTSTÅNDARE]],MATCHHISTORIK[F])</f>
        <v>0</v>
      </c>
    </row>
    <row r="106" spans="1:47" x14ac:dyDescent="0.25">
      <c r="A106" s="97">
        <v>7</v>
      </c>
      <c r="B106" s="97">
        <v>4</v>
      </c>
      <c r="C106" s="101">
        <v>2016</v>
      </c>
      <c r="D106" s="119">
        <v>42517</v>
      </c>
      <c r="E106" s="116" t="s">
        <v>303</v>
      </c>
      <c r="F106" s="116" t="s">
        <v>254</v>
      </c>
      <c r="G106" s="97">
        <v>1</v>
      </c>
      <c r="H106" s="97">
        <v>1</v>
      </c>
      <c r="I106" s="120">
        <v>0</v>
      </c>
      <c r="J106" s="97">
        <v>2</v>
      </c>
      <c r="K106" s="97">
        <v>1</v>
      </c>
      <c r="L106" s="97">
        <v>1</v>
      </c>
      <c r="N106" s="97">
        <v>1</v>
      </c>
    </row>
    <row r="107" spans="1:47" x14ac:dyDescent="0.25">
      <c r="A107" s="97">
        <v>8</v>
      </c>
      <c r="B107" s="97">
        <v>4</v>
      </c>
      <c r="C107" s="101">
        <v>2016</v>
      </c>
      <c r="D107" s="119">
        <v>42526</v>
      </c>
      <c r="E107" s="116" t="s">
        <v>261</v>
      </c>
      <c r="F107" s="116" t="s">
        <v>254</v>
      </c>
      <c r="G107" s="97">
        <v>2</v>
      </c>
      <c r="H107" s="97">
        <v>3</v>
      </c>
      <c r="I107" s="120">
        <v>1</v>
      </c>
      <c r="J107" s="97">
        <v>5</v>
      </c>
      <c r="K107" s="97">
        <v>2</v>
      </c>
      <c r="L107" s="97">
        <v>1</v>
      </c>
      <c r="M107" s="97">
        <v>1</v>
      </c>
      <c r="AE107" s="98"/>
    </row>
    <row r="108" spans="1:47" x14ac:dyDescent="0.25">
      <c r="A108" s="97">
        <v>9</v>
      </c>
      <c r="B108" s="97">
        <v>4</v>
      </c>
      <c r="C108" s="101">
        <v>2016</v>
      </c>
      <c r="D108" s="119">
        <v>42533</v>
      </c>
      <c r="E108" s="116" t="s">
        <v>254</v>
      </c>
      <c r="F108" s="116" t="s">
        <v>269</v>
      </c>
      <c r="G108" s="97">
        <v>4</v>
      </c>
      <c r="H108" s="97">
        <v>3</v>
      </c>
      <c r="I108" s="120">
        <v>1</v>
      </c>
      <c r="J108" s="97">
        <v>7</v>
      </c>
      <c r="K108" s="97">
        <v>3</v>
      </c>
      <c r="L108" s="97">
        <v>1</v>
      </c>
      <c r="M108" s="97">
        <v>1</v>
      </c>
      <c r="AE108" s="98"/>
    </row>
    <row r="109" spans="1:47" x14ac:dyDescent="0.25">
      <c r="A109" s="97">
        <v>10</v>
      </c>
      <c r="B109" s="97">
        <v>4</v>
      </c>
      <c r="C109" s="101">
        <v>2016</v>
      </c>
      <c r="D109" s="119">
        <v>42538</v>
      </c>
      <c r="E109" s="116" t="s">
        <v>254</v>
      </c>
      <c r="F109" s="116" t="s">
        <v>255</v>
      </c>
      <c r="G109" s="97">
        <v>1</v>
      </c>
      <c r="H109" s="97">
        <v>3</v>
      </c>
      <c r="I109" s="120">
        <v>-2</v>
      </c>
      <c r="J109" s="97">
        <v>4</v>
      </c>
      <c r="L109" s="97">
        <v>1</v>
      </c>
      <c r="O109" s="97">
        <v>1</v>
      </c>
      <c r="AE109" s="98"/>
    </row>
    <row r="110" spans="1:47" x14ac:dyDescent="0.25">
      <c r="A110" s="97">
        <v>11</v>
      </c>
      <c r="B110" s="97">
        <v>4</v>
      </c>
      <c r="C110" s="101">
        <v>2016</v>
      </c>
      <c r="D110" s="119">
        <v>42589</v>
      </c>
      <c r="E110" s="116" t="s">
        <v>257</v>
      </c>
      <c r="F110" s="116" t="s">
        <v>254</v>
      </c>
      <c r="G110" s="97">
        <v>5</v>
      </c>
      <c r="H110" s="97">
        <v>1</v>
      </c>
      <c r="I110" s="120">
        <v>-4</v>
      </c>
      <c r="J110" s="97">
        <v>6</v>
      </c>
      <c r="L110" s="97">
        <v>1</v>
      </c>
      <c r="O110" s="97">
        <v>1</v>
      </c>
      <c r="AE110" s="98"/>
    </row>
    <row r="111" spans="1:47" x14ac:dyDescent="0.25">
      <c r="A111" s="97">
        <v>12</v>
      </c>
      <c r="B111" s="97">
        <v>4</v>
      </c>
      <c r="C111" s="101">
        <v>2016</v>
      </c>
      <c r="D111" s="119">
        <v>42594</v>
      </c>
      <c r="E111" s="116" t="s">
        <v>271</v>
      </c>
      <c r="F111" s="116" t="s">
        <v>254</v>
      </c>
      <c r="G111" s="97">
        <v>2</v>
      </c>
      <c r="H111" s="97">
        <v>6</v>
      </c>
      <c r="I111" s="120">
        <v>4</v>
      </c>
      <c r="J111" s="97">
        <v>8</v>
      </c>
      <c r="K111" s="97">
        <v>1</v>
      </c>
      <c r="L111" s="97">
        <v>1</v>
      </c>
      <c r="M111" s="97">
        <v>1</v>
      </c>
      <c r="AE111" s="98"/>
    </row>
    <row r="112" spans="1:47" x14ac:dyDescent="0.25">
      <c r="A112" s="97">
        <v>14</v>
      </c>
      <c r="B112" s="97">
        <v>4</v>
      </c>
      <c r="C112" s="101">
        <v>2016</v>
      </c>
      <c r="D112" s="119">
        <v>42608</v>
      </c>
      <c r="E112" s="116" t="s">
        <v>254</v>
      </c>
      <c r="F112" s="116" t="s">
        <v>267</v>
      </c>
      <c r="G112" s="97">
        <v>2</v>
      </c>
      <c r="H112" s="97">
        <v>0</v>
      </c>
      <c r="I112" s="120">
        <v>2</v>
      </c>
      <c r="J112" s="97">
        <v>2</v>
      </c>
      <c r="K112" s="97">
        <v>2</v>
      </c>
      <c r="L112" s="97">
        <v>1</v>
      </c>
      <c r="M112" s="97">
        <v>1</v>
      </c>
      <c r="AE112" s="98"/>
    </row>
    <row r="113" spans="1:31" x14ac:dyDescent="0.25">
      <c r="A113" s="97">
        <v>15</v>
      </c>
      <c r="B113" s="97">
        <v>4</v>
      </c>
      <c r="C113" s="101">
        <v>2016</v>
      </c>
      <c r="D113" s="119">
        <v>42616</v>
      </c>
      <c r="E113" s="116" t="s">
        <v>297</v>
      </c>
      <c r="F113" s="116" t="s">
        <v>254</v>
      </c>
      <c r="G113" s="97">
        <v>0</v>
      </c>
      <c r="H113" s="97">
        <v>4</v>
      </c>
      <c r="I113" s="120">
        <v>4</v>
      </c>
      <c r="J113" s="97">
        <v>4</v>
      </c>
      <c r="K113" s="97">
        <v>3</v>
      </c>
      <c r="L113" s="97">
        <v>1</v>
      </c>
      <c r="M113" s="97">
        <v>1</v>
      </c>
      <c r="AE113" s="98"/>
    </row>
    <row r="114" spans="1:31" x14ac:dyDescent="0.25">
      <c r="A114" s="97">
        <v>16</v>
      </c>
      <c r="B114" s="97">
        <v>4</v>
      </c>
      <c r="C114" s="101">
        <v>2016</v>
      </c>
      <c r="D114" s="119">
        <v>42622</v>
      </c>
      <c r="E114" s="116" t="s">
        <v>254</v>
      </c>
      <c r="F114" s="116" t="s">
        <v>303</v>
      </c>
      <c r="G114" s="97">
        <v>6</v>
      </c>
      <c r="H114" s="97">
        <v>2</v>
      </c>
      <c r="I114" s="120">
        <v>4</v>
      </c>
      <c r="J114" s="97">
        <v>8</v>
      </c>
      <c r="K114" s="97">
        <v>4</v>
      </c>
      <c r="L114" s="97">
        <v>1</v>
      </c>
      <c r="M114" s="97">
        <v>1</v>
      </c>
      <c r="AE114" s="98"/>
    </row>
    <row r="115" spans="1:31" x14ac:dyDescent="0.25">
      <c r="A115" s="97">
        <v>17</v>
      </c>
      <c r="B115" s="97">
        <v>4</v>
      </c>
      <c r="C115" s="101">
        <v>2016</v>
      </c>
      <c r="D115" s="119">
        <v>42629</v>
      </c>
      <c r="E115" s="116" t="s">
        <v>254</v>
      </c>
      <c r="F115" s="116" t="s">
        <v>261</v>
      </c>
      <c r="G115" s="97">
        <v>7</v>
      </c>
      <c r="H115" s="97">
        <v>1</v>
      </c>
      <c r="I115" s="120">
        <v>6</v>
      </c>
      <c r="J115" s="97">
        <v>8</v>
      </c>
      <c r="K115" s="97">
        <v>5</v>
      </c>
      <c r="L115" s="97">
        <v>1</v>
      </c>
      <c r="M115" s="97">
        <v>1</v>
      </c>
      <c r="AE115" s="98"/>
    </row>
    <row r="116" spans="1:31" x14ac:dyDescent="0.25">
      <c r="A116" s="97">
        <v>18</v>
      </c>
      <c r="B116" s="97">
        <v>4</v>
      </c>
      <c r="C116" s="101">
        <v>2016</v>
      </c>
      <c r="D116" s="119">
        <v>42637</v>
      </c>
      <c r="E116" s="116" t="s">
        <v>269</v>
      </c>
      <c r="F116" s="116" t="s">
        <v>254</v>
      </c>
      <c r="G116" s="97">
        <v>1</v>
      </c>
      <c r="H116" s="97">
        <v>5</v>
      </c>
      <c r="I116" s="120">
        <v>4</v>
      </c>
      <c r="J116" s="97">
        <v>6</v>
      </c>
      <c r="K116" s="97">
        <v>6</v>
      </c>
      <c r="L116" s="97">
        <v>1</v>
      </c>
      <c r="M116" s="97">
        <v>1</v>
      </c>
      <c r="AE116" s="98"/>
    </row>
    <row r="117" spans="1:31" x14ac:dyDescent="0.25">
      <c r="A117" s="97">
        <v>1</v>
      </c>
      <c r="B117" s="97">
        <v>3</v>
      </c>
      <c r="C117" s="101">
        <v>2017</v>
      </c>
      <c r="D117" s="119">
        <v>42842</v>
      </c>
      <c r="E117" s="116" t="s">
        <v>306</v>
      </c>
      <c r="F117" s="116" t="s">
        <v>254</v>
      </c>
      <c r="G117" s="97">
        <v>1</v>
      </c>
      <c r="H117" s="97">
        <v>2</v>
      </c>
      <c r="I117" s="120">
        <v>1</v>
      </c>
      <c r="J117" s="97">
        <v>3</v>
      </c>
      <c r="K117" s="97">
        <v>7</v>
      </c>
      <c r="L117" s="97">
        <v>1</v>
      </c>
      <c r="M117" s="97">
        <v>1</v>
      </c>
      <c r="AE117" s="98"/>
    </row>
    <row r="118" spans="1:31" x14ac:dyDescent="0.25">
      <c r="A118" s="97">
        <v>2</v>
      </c>
      <c r="B118" s="97">
        <v>3</v>
      </c>
      <c r="C118" s="101">
        <v>2017</v>
      </c>
      <c r="D118" s="119">
        <v>42847</v>
      </c>
      <c r="E118" s="116" t="s">
        <v>254</v>
      </c>
      <c r="F118" s="116" t="s">
        <v>257</v>
      </c>
      <c r="G118" s="97">
        <v>3</v>
      </c>
      <c r="H118" s="97">
        <v>1</v>
      </c>
      <c r="I118" s="120">
        <v>2</v>
      </c>
      <c r="J118" s="97">
        <v>4</v>
      </c>
      <c r="K118" s="97">
        <v>8</v>
      </c>
      <c r="L118" s="97">
        <v>1</v>
      </c>
      <c r="M118" s="97">
        <v>1</v>
      </c>
      <c r="AE118" s="98"/>
    </row>
    <row r="119" spans="1:31" x14ac:dyDescent="0.25">
      <c r="A119" s="97">
        <v>3</v>
      </c>
      <c r="B119" s="97">
        <v>3</v>
      </c>
      <c r="C119" s="101">
        <v>2017</v>
      </c>
      <c r="D119" s="119">
        <v>42854</v>
      </c>
      <c r="E119" s="116" t="s">
        <v>317</v>
      </c>
      <c r="F119" s="116" t="s">
        <v>254</v>
      </c>
      <c r="G119" s="97">
        <v>6</v>
      </c>
      <c r="H119" s="97">
        <v>3</v>
      </c>
      <c r="I119" s="120">
        <v>-3</v>
      </c>
      <c r="J119" s="97">
        <v>9</v>
      </c>
      <c r="L119" s="97">
        <v>1</v>
      </c>
      <c r="O119" s="97">
        <v>1</v>
      </c>
      <c r="AE119" s="98"/>
    </row>
    <row r="120" spans="1:31" x14ac:dyDescent="0.25">
      <c r="A120" s="97">
        <v>4</v>
      </c>
      <c r="B120" s="97">
        <v>3</v>
      </c>
      <c r="C120" s="101">
        <v>2017</v>
      </c>
      <c r="D120" s="119">
        <v>42860</v>
      </c>
      <c r="E120" s="116" t="s">
        <v>254</v>
      </c>
      <c r="F120" s="116" t="s">
        <v>328</v>
      </c>
      <c r="G120" s="97">
        <v>5</v>
      </c>
      <c r="H120" s="97">
        <v>1</v>
      </c>
      <c r="I120" s="120">
        <v>4</v>
      </c>
      <c r="J120" s="97">
        <v>6</v>
      </c>
      <c r="K120" s="97">
        <v>1</v>
      </c>
      <c r="L120" s="97">
        <v>1</v>
      </c>
      <c r="M120" s="97">
        <v>1</v>
      </c>
      <c r="AE120" s="98"/>
    </row>
    <row r="121" spans="1:31" x14ac:dyDescent="0.25">
      <c r="A121" s="97">
        <v>5</v>
      </c>
      <c r="B121" s="97">
        <v>3</v>
      </c>
      <c r="C121" s="101">
        <v>2017</v>
      </c>
      <c r="D121" s="119">
        <v>42868</v>
      </c>
      <c r="E121" s="116" t="s">
        <v>256</v>
      </c>
      <c r="F121" s="116" t="s">
        <v>254</v>
      </c>
      <c r="G121" s="97">
        <v>0</v>
      </c>
      <c r="H121" s="97">
        <v>2</v>
      </c>
      <c r="I121" s="120">
        <v>2</v>
      </c>
      <c r="J121" s="97">
        <v>2</v>
      </c>
      <c r="K121" s="97">
        <v>2</v>
      </c>
      <c r="L121" s="97">
        <v>1</v>
      </c>
      <c r="M121" s="97">
        <v>1</v>
      </c>
      <c r="AE121" s="98"/>
    </row>
    <row r="122" spans="1:31" x14ac:dyDescent="0.25">
      <c r="A122" s="97">
        <v>6</v>
      </c>
      <c r="B122" s="97">
        <v>3</v>
      </c>
      <c r="C122" s="101">
        <v>2017</v>
      </c>
      <c r="D122" s="119">
        <v>42874</v>
      </c>
      <c r="E122" s="116" t="s">
        <v>254</v>
      </c>
      <c r="F122" s="116" t="s">
        <v>277</v>
      </c>
      <c r="G122" s="97">
        <v>8</v>
      </c>
      <c r="H122" s="97">
        <v>1</v>
      </c>
      <c r="I122" s="120">
        <v>7</v>
      </c>
      <c r="J122" s="97">
        <v>9</v>
      </c>
      <c r="K122" s="97">
        <v>3</v>
      </c>
      <c r="L122" s="97">
        <v>1</v>
      </c>
      <c r="M122" s="97">
        <v>1</v>
      </c>
      <c r="AE122" s="98"/>
    </row>
    <row r="123" spans="1:31" x14ac:dyDescent="0.25">
      <c r="A123" s="97">
        <v>7</v>
      </c>
      <c r="B123" s="97">
        <v>3</v>
      </c>
      <c r="C123" s="101">
        <v>2017</v>
      </c>
      <c r="D123" s="119">
        <v>42880</v>
      </c>
      <c r="E123" s="116" t="s">
        <v>258</v>
      </c>
      <c r="F123" s="116" t="s">
        <v>254</v>
      </c>
      <c r="G123" s="97">
        <v>2</v>
      </c>
      <c r="H123" s="97">
        <v>3</v>
      </c>
      <c r="I123" s="120">
        <v>1</v>
      </c>
      <c r="J123" s="97">
        <v>5</v>
      </c>
      <c r="K123" s="97">
        <v>4</v>
      </c>
      <c r="L123" s="97">
        <v>1</v>
      </c>
      <c r="M123" s="97">
        <v>1</v>
      </c>
      <c r="AE123" s="98"/>
    </row>
    <row r="124" spans="1:31" x14ac:dyDescent="0.25">
      <c r="A124" s="97">
        <v>8</v>
      </c>
      <c r="B124" s="97">
        <v>3</v>
      </c>
      <c r="C124" s="101">
        <v>2017</v>
      </c>
      <c r="D124" s="119">
        <v>42889</v>
      </c>
      <c r="E124" s="116" t="s">
        <v>314</v>
      </c>
      <c r="F124" s="116" t="s">
        <v>254</v>
      </c>
      <c r="G124" s="97">
        <v>3</v>
      </c>
      <c r="H124" s="97">
        <v>1</v>
      </c>
      <c r="I124" s="120">
        <v>-2</v>
      </c>
      <c r="J124" s="97">
        <v>4</v>
      </c>
      <c r="L124" s="97">
        <v>1</v>
      </c>
      <c r="O124" s="97">
        <v>1</v>
      </c>
      <c r="AE124" s="98"/>
    </row>
    <row r="125" spans="1:31" x14ac:dyDescent="0.25">
      <c r="A125" s="97">
        <v>10</v>
      </c>
      <c r="B125" s="97">
        <v>3</v>
      </c>
      <c r="C125" s="101">
        <v>2017</v>
      </c>
      <c r="D125" s="119">
        <v>42904</v>
      </c>
      <c r="E125" s="116" t="s">
        <v>254</v>
      </c>
      <c r="F125" s="116" t="s">
        <v>306</v>
      </c>
      <c r="G125" s="97">
        <v>5</v>
      </c>
      <c r="H125" s="97">
        <v>3</v>
      </c>
      <c r="I125" s="120">
        <v>2</v>
      </c>
      <c r="J125" s="97">
        <v>8</v>
      </c>
      <c r="K125" s="97">
        <v>1</v>
      </c>
      <c r="L125" s="97">
        <v>1</v>
      </c>
      <c r="M125" s="97">
        <v>1</v>
      </c>
      <c r="AE125" s="98"/>
    </row>
    <row r="126" spans="1:31" x14ac:dyDescent="0.25">
      <c r="A126" s="97">
        <v>11</v>
      </c>
      <c r="B126" s="97">
        <v>3</v>
      </c>
      <c r="C126" s="101">
        <v>2017</v>
      </c>
      <c r="D126" s="119">
        <v>42962</v>
      </c>
      <c r="E126" s="116" t="s">
        <v>257</v>
      </c>
      <c r="F126" s="116" t="s">
        <v>254</v>
      </c>
      <c r="G126" s="97">
        <v>0</v>
      </c>
      <c r="H126" s="97">
        <v>3</v>
      </c>
      <c r="I126" s="120">
        <v>3</v>
      </c>
      <c r="J126" s="97">
        <v>3</v>
      </c>
      <c r="K126" s="97">
        <v>2</v>
      </c>
      <c r="L126" s="97">
        <v>1</v>
      </c>
      <c r="M126" s="97">
        <v>1</v>
      </c>
      <c r="AE126" s="98"/>
    </row>
    <row r="127" spans="1:31" x14ac:dyDescent="0.25">
      <c r="A127" s="97">
        <v>12</v>
      </c>
      <c r="B127" s="97">
        <v>3</v>
      </c>
      <c r="C127" s="101">
        <v>2017</v>
      </c>
      <c r="D127" s="119">
        <v>42966</v>
      </c>
      <c r="E127" s="116" t="s">
        <v>254</v>
      </c>
      <c r="F127" s="116" t="s">
        <v>317</v>
      </c>
      <c r="G127" s="97">
        <v>4</v>
      </c>
      <c r="H127" s="97">
        <v>0</v>
      </c>
      <c r="I127" s="120">
        <v>4</v>
      </c>
      <c r="J127" s="97">
        <v>4</v>
      </c>
      <c r="K127" s="97">
        <v>3</v>
      </c>
      <c r="L127" s="97">
        <v>1</v>
      </c>
      <c r="M127" s="97">
        <v>1</v>
      </c>
      <c r="AE127" s="98"/>
    </row>
    <row r="128" spans="1:31" x14ac:dyDescent="0.25">
      <c r="A128" s="97">
        <v>13</v>
      </c>
      <c r="B128" s="97">
        <v>3</v>
      </c>
      <c r="C128" s="101">
        <v>2017</v>
      </c>
      <c r="D128" s="119">
        <v>42972</v>
      </c>
      <c r="E128" s="116" t="s">
        <v>328</v>
      </c>
      <c r="F128" s="116" t="s">
        <v>254</v>
      </c>
      <c r="G128" s="97">
        <v>2</v>
      </c>
      <c r="H128" s="97">
        <v>1</v>
      </c>
      <c r="I128" s="120">
        <v>-1</v>
      </c>
      <c r="J128" s="97">
        <v>3</v>
      </c>
      <c r="L128" s="97">
        <v>1</v>
      </c>
      <c r="O128" s="97">
        <v>1</v>
      </c>
      <c r="AE128" s="98"/>
    </row>
    <row r="129" spans="1:31" x14ac:dyDescent="0.25">
      <c r="A129" s="97">
        <v>14</v>
      </c>
      <c r="B129" s="97">
        <v>3</v>
      </c>
      <c r="C129" s="101">
        <v>2017</v>
      </c>
      <c r="D129" s="119">
        <v>42980</v>
      </c>
      <c r="E129" s="116" t="s">
        <v>254</v>
      </c>
      <c r="F129" s="116" t="s">
        <v>256</v>
      </c>
      <c r="G129" s="97">
        <v>5</v>
      </c>
      <c r="H129" s="97">
        <v>0</v>
      </c>
      <c r="I129" s="120">
        <v>5</v>
      </c>
      <c r="J129" s="97">
        <v>5</v>
      </c>
      <c r="K129" s="97">
        <v>1</v>
      </c>
      <c r="L129" s="97">
        <v>1</v>
      </c>
      <c r="M129" s="97">
        <v>1</v>
      </c>
      <c r="AE129" s="98"/>
    </row>
    <row r="130" spans="1:31" x14ac:dyDescent="0.25">
      <c r="A130" s="97">
        <v>15</v>
      </c>
      <c r="B130" s="97">
        <v>3</v>
      </c>
      <c r="C130" s="101">
        <v>2017</v>
      </c>
      <c r="D130" s="119">
        <v>42987</v>
      </c>
      <c r="E130" s="116" t="s">
        <v>277</v>
      </c>
      <c r="F130" s="116" t="s">
        <v>254</v>
      </c>
      <c r="G130" s="97">
        <v>0</v>
      </c>
      <c r="H130" s="97">
        <v>6</v>
      </c>
      <c r="I130" s="120">
        <v>6</v>
      </c>
      <c r="J130" s="97">
        <v>6</v>
      </c>
      <c r="K130" s="97">
        <v>2</v>
      </c>
      <c r="L130" s="97">
        <v>1</v>
      </c>
      <c r="M130" s="97">
        <v>1</v>
      </c>
      <c r="AE130" s="98"/>
    </row>
    <row r="131" spans="1:31" x14ac:dyDescent="0.25">
      <c r="A131" s="97">
        <v>16</v>
      </c>
      <c r="B131" s="97">
        <v>3</v>
      </c>
      <c r="C131" s="101">
        <v>2017</v>
      </c>
      <c r="D131" s="119">
        <v>42994</v>
      </c>
      <c r="E131" s="116" t="s">
        <v>254</v>
      </c>
      <c r="F131" s="116" t="s">
        <v>258</v>
      </c>
      <c r="G131" s="97">
        <v>5</v>
      </c>
      <c r="H131" s="97">
        <v>3</v>
      </c>
      <c r="I131" s="120">
        <v>2</v>
      </c>
      <c r="J131" s="97">
        <v>8</v>
      </c>
      <c r="K131" s="97">
        <v>3</v>
      </c>
      <c r="L131" s="97">
        <v>1</v>
      </c>
      <c r="M131" s="97">
        <v>1</v>
      </c>
      <c r="AE131" s="98"/>
    </row>
    <row r="132" spans="1:31" x14ac:dyDescent="0.25">
      <c r="A132" s="97">
        <v>17</v>
      </c>
      <c r="B132" s="97">
        <v>3</v>
      </c>
      <c r="C132" s="101">
        <v>2017</v>
      </c>
      <c r="D132" s="119">
        <v>43001</v>
      </c>
      <c r="E132" s="116" t="s">
        <v>254</v>
      </c>
      <c r="F132" s="116" t="s">
        <v>314</v>
      </c>
      <c r="G132" s="97">
        <v>3</v>
      </c>
      <c r="H132" s="97">
        <v>1</v>
      </c>
      <c r="I132" s="120">
        <v>2</v>
      </c>
      <c r="J132" s="97">
        <v>4</v>
      </c>
      <c r="K132" s="97">
        <v>4</v>
      </c>
      <c r="L132" s="97">
        <v>1</v>
      </c>
      <c r="M132" s="97">
        <v>1</v>
      </c>
      <c r="AE132" s="98"/>
    </row>
    <row r="133" spans="1:31" x14ac:dyDescent="0.25">
      <c r="A133" s="97">
        <v>1</v>
      </c>
      <c r="B133" s="97">
        <v>2</v>
      </c>
      <c r="C133" s="101">
        <v>2018</v>
      </c>
      <c r="D133" s="119">
        <v>43205</v>
      </c>
      <c r="E133" s="116" t="s">
        <v>294</v>
      </c>
      <c r="F133" s="116" t="s">
        <v>254</v>
      </c>
      <c r="G133" s="97">
        <v>1</v>
      </c>
      <c r="H133" s="97">
        <v>0</v>
      </c>
      <c r="I133" s="120">
        <v>-1</v>
      </c>
      <c r="J133" s="97">
        <v>1</v>
      </c>
      <c r="L133" s="97"/>
      <c r="O133" s="97">
        <v>1</v>
      </c>
      <c r="AE133" s="98"/>
    </row>
    <row r="134" spans="1:31" x14ac:dyDescent="0.25">
      <c r="A134" s="97">
        <v>2</v>
      </c>
      <c r="B134" s="97">
        <v>2</v>
      </c>
      <c r="C134" s="101">
        <v>2018</v>
      </c>
      <c r="D134" s="119">
        <v>43211</v>
      </c>
      <c r="E134" s="116" t="s">
        <v>254</v>
      </c>
      <c r="F134" s="116" t="s">
        <v>334</v>
      </c>
      <c r="G134" s="97">
        <v>2</v>
      </c>
      <c r="H134" s="97">
        <v>3</v>
      </c>
      <c r="I134" s="120">
        <v>-1</v>
      </c>
      <c r="J134" s="97">
        <v>5</v>
      </c>
      <c r="L134" s="97">
        <v>1</v>
      </c>
      <c r="O134" s="97">
        <v>1</v>
      </c>
      <c r="AE134" s="98"/>
    </row>
    <row r="135" spans="1:31" x14ac:dyDescent="0.25">
      <c r="A135" s="97">
        <v>3</v>
      </c>
      <c r="B135" s="97">
        <v>2</v>
      </c>
      <c r="C135" s="101">
        <v>2018</v>
      </c>
      <c r="D135" s="119">
        <v>43218</v>
      </c>
      <c r="E135" s="116" t="s">
        <v>286</v>
      </c>
      <c r="F135" s="116" t="s">
        <v>254</v>
      </c>
      <c r="G135" s="97">
        <v>4</v>
      </c>
      <c r="H135" s="97">
        <v>2</v>
      </c>
      <c r="I135" s="120">
        <v>-2</v>
      </c>
      <c r="J135" s="97">
        <v>6</v>
      </c>
      <c r="L135" s="97">
        <v>1</v>
      </c>
      <c r="O135" s="97">
        <v>1</v>
      </c>
      <c r="AE135" s="98"/>
    </row>
    <row r="136" spans="1:31" x14ac:dyDescent="0.25">
      <c r="A136" s="97">
        <v>4</v>
      </c>
      <c r="B136" s="97">
        <v>2</v>
      </c>
      <c r="C136" s="101">
        <v>2018</v>
      </c>
      <c r="D136" s="119">
        <v>43225</v>
      </c>
      <c r="E136" s="116" t="s">
        <v>254</v>
      </c>
      <c r="F136" s="116" t="s">
        <v>309</v>
      </c>
      <c r="G136" s="97">
        <v>2</v>
      </c>
      <c r="H136" s="97">
        <v>0</v>
      </c>
      <c r="I136" s="120">
        <v>2</v>
      </c>
      <c r="J136" s="97">
        <v>2</v>
      </c>
      <c r="K136" s="97">
        <v>1</v>
      </c>
      <c r="L136" s="97">
        <v>1</v>
      </c>
      <c r="M136" s="97">
        <v>1</v>
      </c>
      <c r="AE136" s="98"/>
    </row>
    <row r="137" spans="1:31" x14ac:dyDescent="0.25">
      <c r="A137" s="97">
        <v>5</v>
      </c>
      <c r="B137" s="97">
        <v>2</v>
      </c>
      <c r="C137" s="101">
        <v>2018</v>
      </c>
      <c r="D137" s="119">
        <v>43229</v>
      </c>
      <c r="E137" s="116" t="s">
        <v>275</v>
      </c>
      <c r="F137" s="116" t="s">
        <v>254</v>
      </c>
      <c r="G137" s="97">
        <v>3</v>
      </c>
      <c r="H137" s="97">
        <v>3</v>
      </c>
      <c r="I137" s="120">
        <v>0</v>
      </c>
      <c r="J137" s="97">
        <v>6</v>
      </c>
      <c r="K137" s="97">
        <v>2</v>
      </c>
      <c r="L137" s="97">
        <v>1</v>
      </c>
      <c r="N137" s="97">
        <v>1</v>
      </c>
      <c r="AE137" s="98"/>
    </row>
    <row r="138" spans="1:31" x14ac:dyDescent="0.25">
      <c r="A138" s="97">
        <v>6</v>
      </c>
      <c r="B138" s="97">
        <v>2</v>
      </c>
      <c r="C138" s="101">
        <v>2018</v>
      </c>
      <c r="D138" s="119">
        <v>43232</v>
      </c>
      <c r="E138" s="116" t="s">
        <v>254</v>
      </c>
      <c r="F138" s="116" t="s">
        <v>263</v>
      </c>
      <c r="G138" s="97">
        <v>2</v>
      </c>
      <c r="H138" s="97">
        <v>1</v>
      </c>
      <c r="I138" s="120">
        <v>1</v>
      </c>
      <c r="J138" s="97">
        <v>3</v>
      </c>
      <c r="K138" s="97">
        <v>3</v>
      </c>
      <c r="L138" s="97">
        <v>1</v>
      </c>
      <c r="M138" s="97">
        <v>1</v>
      </c>
      <c r="AE138" s="98"/>
    </row>
    <row r="139" spans="1:31" x14ac:dyDescent="0.25">
      <c r="A139" s="97">
        <v>8</v>
      </c>
      <c r="B139" s="97">
        <v>2</v>
      </c>
      <c r="C139" s="101">
        <v>2018</v>
      </c>
      <c r="D139" s="119">
        <v>43246</v>
      </c>
      <c r="E139" s="116" t="s">
        <v>254</v>
      </c>
      <c r="F139" s="116" t="s">
        <v>312</v>
      </c>
      <c r="G139" s="97">
        <v>2</v>
      </c>
      <c r="H139" s="97">
        <v>3</v>
      </c>
      <c r="I139" s="120">
        <v>-1</v>
      </c>
      <c r="J139" s="97">
        <v>5</v>
      </c>
      <c r="L139" s="97">
        <v>1</v>
      </c>
      <c r="O139" s="97">
        <v>1</v>
      </c>
      <c r="AE139" s="98"/>
    </row>
    <row r="140" spans="1:31" x14ac:dyDescent="0.25">
      <c r="A140" s="97">
        <v>9</v>
      </c>
      <c r="B140" s="97">
        <v>2</v>
      </c>
      <c r="C140" s="101">
        <v>2018</v>
      </c>
      <c r="D140" s="119">
        <v>43254</v>
      </c>
      <c r="E140" s="116" t="s">
        <v>279</v>
      </c>
      <c r="F140" s="116" t="s">
        <v>254</v>
      </c>
      <c r="G140" s="97">
        <v>2</v>
      </c>
      <c r="H140" s="97">
        <v>3</v>
      </c>
      <c r="I140" s="120">
        <v>1</v>
      </c>
      <c r="J140" s="97">
        <v>5</v>
      </c>
      <c r="K140" s="97">
        <v>1</v>
      </c>
      <c r="L140" s="97">
        <v>1</v>
      </c>
      <c r="M140" s="97">
        <v>1</v>
      </c>
      <c r="AE140" s="98"/>
    </row>
    <row r="141" spans="1:31" x14ac:dyDescent="0.25">
      <c r="A141" s="97">
        <v>11</v>
      </c>
      <c r="B141" s="97">
        <v>2</v>
      </c>
      <c r="C141" s="101">
        <v>2018</v>
      </c>
      <c r="D141" s="119">
        <v>43268</v>
      </c>
      <c r="E141" s="116" t="s">
        <v>278</v>
      </c>
      <c r="F141" s="116" t="s">
        <v>254</v>
      </c>
      <c r="G141" s="97">
        <v>1</v>
      </c>
      <c r="H141" s="97">
        <v>5</v>
      </c>
      <c r="I141" s="120">
        <v>4</v>
      </c>
      <c r="J141" s="97">
        <v>6</v>
      </c>
      <c r="K141" s="97">
        <v>2</v>
      </c>
      <c r="L141" s="97">
        <v>1</v>
      </c>
      <c r="M141" s="97">
        <v>1</v>
      </c>
      <c r="AE141" s="98"/>
    </row>
    <row r="142" spans="1:31" x14ac:dyDescent="0.25">
      <c r="A142" s="97">
        <v>12</v>
      </c>
      <c r="B142" s="97">
        <v>2</v>
      </c>
      <c r="C142" s="101">
        <v>2018</v>
      </c>
      <c r="D142" s="119">
        <v>43275</v>
      </c>
      <c r="E142" s="116" t="s">
        <v>254</v>
      </c>
      <c r="F142" s="116" t="s">
        <v>294</v>
      </c>
      <c r="G142" s="97">
        <v>5</v>
      </c>
      <c r="H142" s="97">
        <v>0</v>
      </c>
      <c r="I142" s="120">
        <v>5</v>
      </c>
      <c r="J142" s="97">
        <v>5</v>
      </c>
      <c r="K142" s="97">
        <v>3</v>
      </c>
      <c r="L142" s="97">
        <v>1</v>
      </c>
      <c r="M142" s="97">
        <v>1</v>
      </c>
      <c r="AE142" s="98"/>
    </row>
    <row r="143" spans="1:31" x14ac:dyDescent="0.25">
      <c r="A143" s="97">
        <v>13</v>
      </c>
      <c r="B143" s="97">
        <v>2</v>
      </c>
      <c r="C143" s="101">
        <v>2018</v>
      </c>
      <c r="D143" s="119">
        <v>43281</v>
      </c>
      <c r="E143" s="116" t="s">
        <v>334</v>
      </c>
      <c r="F143" s="116" t="s">
        <v>254</v>
      </c>
      <c r="G143" s="97">
        <v>4</v>
      </c>
      <c r="H143" s="97">
        <v>1</v>
      </c>
      <c r="I143" s="120">
        <v>-3</v>
      </c>
      <c r="J143" s="97">
        <v>5</v>
      </c>
      <c r="L143" s="97">
        <v>1</v>
      </c>
      <c r="O143" s="97">
        <v>1</v>
      </c>
      <c r="AE143" s="98"/>
    </row>
    <row r="144" spans="1:31" x14ac:dyDescent="0.25">
      <c r="A144" s="97">
        <v>14</v>
      </c>
      <c r="B144" s="97">
        <v>2</v>
      </c>
      <c r="C144" s="101">
        <v>2018</v>
      </c>
      <c r="D144" s="119">
        <v>43323</v>
      </c>
      <c r="E144" s="116" t="s">
        <v>254</v>
      </c>
      <c r="F144" s="116" t="s">
        <v>286</v>
      </c>
      <c r="G144" s="97">
        <v>4</v>
      </c>
      <c r="H144" s="97">
        <v>1</v>
      </c>
      <c r="I144" s="120">
        <v>3</v>
      </c>
      <c r="J144" s="97">
        <v>5</v>
      </c>
      <c r="K144" s="97">
        <v>1</v>
      </c>
      <c r="L144" s="97">
        <v>1</v>
      </c>
      <c r="M144" s="97">
        <v>1</v>
      </c>
      <c r="AE144" s="98"/>
    </row>
    <row r="145" spans="1:31" x14ac:dyDescent="0.25">
      <c r="A145" s="97">
        <v>15</v>
      </c>
      <c r="B145" s="97">
        <v>2</v>
      </c>
      <c r="C145" s="101">
        <v>2018</v>
      </c>
      <c r="D145" s="119">
        <v>43330</v>
      </c>
      <c r="E145" s="116" t="s">
        <v>309</v>
      </c>
      <c r="F145" s="116" t="s">
        <v>254</v>
      </c>
      <c r="G145" s="97">
        <v>1</v>
      </c>
      <c r="H145" s="97">
        <v>1</v>
      </c>
      <c r="I145" s="120">
        <v>0</v>
      </c>
      <c r="J145" s="97">
        <v>2</v>
      </c>
      <c r="K145" s="97">
        <v>2</v>
      </c>
      <c r="L145" s="97">
        <v>1</v>
      </c>
      <c r="N145" s="97">
        <v>1</v>
      </c>
      <c r="AE145" s="98"/>
    </row>
    <row r="146" spans="1:31" x14ac:dyDescent="0.25">
      <c r="A146" s="97">
        <v>16</v>
      </c>
      <c r="B146" s="97">
        <v>2</v>
      </c>
      <c r="C146" s="101">
        <v>2018</v>
      </c>
      <c r="D146" s="119">
        <v>43337</v>
      </c>
      <c r="E146" s="116" t="s">
        <v>254</v>
      </c>
      <c r="F146" s="116" t="s">
        <v>275</v>
      </c>
      <c r="G146" s="97">
        <v>8</v>
      </c>
      <c r="H146" s="97">
        <v>4</v>
      </c>
      <c r="I146" s="120">
        <v>4</v>
      </c>
      <c r="J146" s="97">
        <v>12</v>
      </c>
      <c r="K146" s="97">
        <v>3</v>
      </c>
      <c r="L146" s="97">
        <v>1</v>
      </c>
      <c r="M146" s="97">
        <v>1</v>
      </c>
      <c r="AE146" s="98"/>
    </row>
    <row r="147" spans="1:31" x14ac:dyDescent="0.25">
      <c r="A147" s="97">
        <v>17</v>
      </c>
      <c r="B147" s="97">
        <v>2</v>
      </c>
      <c r="C147" s="101">
        <v>2018</v>
      </c>
      <c r="D147" s="119">
        <v>43345</v>
      </c>
      <c r="E147" s="116" t="s">
        <v>263</v>
      </c>
      <c r="F147" s="116" t="s">
        <v>254</v>
      </c>
      <c r="G147" s="97">
        <v>0</v>
      </c>
      <c r="H147" s="97">
        <v>12</v>
      </c>
      <c r="I147" s="120">
        <v>12</v>
      </c>
      <c r="J147" s="97">
        <v>12</v>
      </c>
      <c r="K147" s="97">
        <v>4</v>
      </c>
      <c r="L147" s="97">
        <v>1</v>
      </c>
      <c r="M147" s="97">
        <v>1</v>
      </c>
      <c r="AE147" s="98"/>
    </row>
    <row r="148" spans="1:31" x14ac:dyDescent="0.25">
      <c r="A148" s="97">
        <v>19</v>
      </c>
      <c r="B148" s="97">
        <v>2</v>
      </c>
      <c r="C148" s="101">
        <v>2018</v>
      </c>
      <c r="D148" s="119">
        <v>43358</v>
      </c>
      <c r="E148" s="116" t="s">
        <v>312</v>
      </c>
      <c r="F148" s="116" t="s">
        <v>254</v>
      </c>
      <c r="G148" s="97">
        <v>2</v>
      </c>
      <c r="H148" s="97">
        <v>0</v>
      </c>
      <c r="I148" s="120">
        <v>-2</v>
      </c>
      <c r="J148" s="97">
        <v>2</v>
      </c>
      <c r="L148" s="97"/>
      <c r="O148" s="97">
        <v>1</v>
      </c>
      <c r="AE148" s="98"/>
    </row>
    <row r="149" spans="1:31" x14ac:dyDescent="0.25">
      <c r="A149" s="97">
        <v>20</v>
      </c>
      <c r="B149" s="97">
        <v>2</v>
      </c>
      <c r="C149" s="101">
        <v>2018</v>
      </c>
      <c r="D149" s="119">
        <v>43365</v>
      </c>
      <c r="E149" s="116" t="s">
        <v>254</v>
      </c>
      <c r="F149" s="116" t="s">
        <v>279</v>
      </c>
      <c r="G149" s="97">
        <v>3</v>
      </c>
      <c r="H149" s="97">
        <v>2</v>
      </c>
      <c r="I149" s="120">
        <v>1</v>
      </c>
      <c r="J149" s="97">
        <v>5</v>
      </c>
      <c r="K149" s="97">
        <v>1</v>
      </c>
      <c r="L149" s="97">
        <v>1</v>
      </c>
      <c r="M149" s="97">
        <v>1</v>
      </c>
      <c r="AE149" s="98"/>
    </row>
    <row r="150" spans="1:31" x14ac:dyDescent="0.25">
      <c r="A150" s="97">
        <v>22</v>
      </c>
      <c r="B150" s="97">
        <v>2</v>
      </c>
      <c r="C150" s="101">
        <v>2018</v>
      </c>
      <c r="D150" s="119">
        <v>43380</v>
      </c>
      <c r="E150" s="116" t="s">
        <v>254</v>
      </c>
      <c r="F150" s="116" t="s">
        <v>278</v>
      </c>
      <c r="G150" s="97">
        <v>3</v>
      </c>
      <c r="H150" s="97">
        <v>2</v>
      </c>
      <c r="I150" s="120">
        <v>1</v>
      </c>
      <c r="J150" s="97">
        <v>5</v>
      </c>
      <c r="K150" s="97">
        <v>2</v>
      </c>
      <c r="L150" s="97">
        <v>1</v>
      </c>
      <c r="M150" s="97">
        <v>1</v>
      </c>
      <c r="AE150" s="98"/>
    </row>
    <row r="151" spans="1:31" x14ac:dyDescent="0.25">
      <c r="A151" s="97">
        <v>1</v>
      </c>
      <c r="B151" s="97" t="s">
        <v>335</v>
      </c>
      <c r="C151" s="101">
        <v>2019</v>
      </c>
      <c r="D151" s="119">
        <v>43527</v>
      </c>
      <c r="E151" s="116" t="s">
        <v>254</v>
      </c>
      <c r="F151" s="116" t="s">
        <v>336</v>
      </c>
      <c r="G151" s="97">
        <v>8</v>
      </c>
      <c r="H151" s="97">
        <v>0</v>
      </c>
      <c r="I151" s="120">
        <v>8</v>
      </c>
      <c r="J151" s="97">
        <f>MATCHHISTORIK[[#This Row],[HL M]]+MATCHHISTORIK[[#This Row],[BL M]]</f>
        <v>8</v>
      </c>
      <c r="K151" s="97">
        <v>3</v>
      </c>
      <c r="L151" s="97">
        <v>1</v>
      </c>
      <c r="M151" s="97">
        <v>1</v>
      </c>
      <c r="AE151" s="98"/>
    </row>
    <row r="152" spans="1:31" x14ac:dyDescent="0.25">
      <c r="A152" s="97">
        <v>2</v>
      </c>
      <c r="B152" s="97" t="s">
        <v>335</v>
      </c>
      <c r="C152" s="101">
        <v>2019</v>
      </c>
      <c r="D152" s="119">
        <v>43541</v>
      </c>
      <c r="E152" s="116" t="s">
        <v>261</v>
      </c>
      <c r="F152" s="116" t="s">
        <v>254</v>
      </c>
      <c r="G152" s="97">
        <v>0</v>
      </c>
      <c r="H152" s="97">
        <v>4</v>
      </c>
      <c r="I152" s="120">
        <v>4</v>
      </c>
      <c r="J152" s="97">
        <f>MATCHHISTORIK[[#This Row],[HL M]]+MATCHHISTORIK[[#This Row],[BL M]]</f>
        <v>4</v>
      </c>
      <c r="K152" s="97">
        <v>4</v>
      </c>
      <c r="L152" s="97">
        <v>1</v>
      </c>
      <c r="M152" s="97">
        <v>1</v>
      </c>
      <c r="AE152" s="98"/>
    </row>
    <row r="153" spans="1:31" x14ac:dyDescent="0.25">
      <c r="A153" s="97">
        <v>3</v>
      </c>
      <c r="B153" s="97" t="s">
        <v>335</v>
      </c>
      <c r="C153" s="101">
        <v>2019</v>
      </c>
      <c r="D153" s="119">
        <v>43550</v>
      </c>
      <c r="E153" s="116" t="s">
        <v>314</v>
      </c>
      <c r="F153" s="116" t="s">
        <v>254</v>
      </c>
      <c r="G153" s="97">
        <v>1</v>
      </c>
      <c r="H153" s="97">
        <v>4</v>
      </c>
      <c r="I153" s="120">
        <v>3</v>
      </c>
      <c r="J153" s="97">
        <f>MATCHHISTORIK[[#This Row],[HL M]]+MATCHHISTORIK[[#This Row],[BL M]]</f>
        <v>5</v>
      </c>
      <c r="K153" s="97">
        <v>5</v>
      </c>
      <c r="L153" s="97">
        <v>1</v>
      </c>
      <c r="M153" s="97">
        <v>1</v>
      </c>
      <c r="AE153" s="98"/>
    </row>
    <row r="154" spans="1:31" x14ac:dyDescent="0.25">
      <c r="A154" s="97">
        <v>1</v>
      </c>
      <c r="B154" s="97">
        <v>2</v>
      </c>
      <c r="C154" s="101">
        <v>2019</v>
      </c>
      <c r="D154" s="119">
        <v>43567</v>
      </c>
      <c r="E154" s="116" t="s">
        <v>294</v>
      </c>
      <c r="F154" s="116" t="s">
        <v>254</v>
      </c>
      <c r="G154" s="97">
        <v>3</v>
      </c>
      <c r="H154" s="97">
        <v>1</v>
      </c>
      <c r="I154" s="120">
        <v>-2</v>
      </c>
      <c r="J154" s="97">
        <v>4</v>
      </c>
      <c r="L154" s="97">
        <v>1</v>
      </c>
      <c r="O154" s="97">
        <v>1</v>
      </c>
      <c r="AE154" s="98"/>
    </row>
    <row r="155" spans="1:31" x14ac:dyDescent="0.25">
      <c r="A155" s="97">
        <v>2</v>
      </c>
      <c r="B155" s="97">
        <v>2</v>
      </c>
      <c r="C155" s="101">
        <v>2019</v>
      </c>
      <c r="D155" s="119">
        <v>43575</v>
      </c>
      <c r="E155" s="116" t="s">
        <v>254</v>
      </c>
      <c r="F155" s="116" t="s">
        <v>286</v>
      </c>
      <c r="G155" s="97">
        <v>6</v>
      </c>
      <c r="H155" s="97">
        <v>1</v>
      </c>
      <c r="I155" s="120">
        <v>5</v>
      </c>
      <c r="J155" s="97">
        <v>7</v>
      </c>
      <c r="K155" s="97">
        <v>1</v>
      </c>
      <c r="L155" s="97">
        <v>1</v>
      </c>
      <c r="M155" s="97">
        <v>1</v>
      </c>
      <c r="AE155" s="98"/>
    </row>
    <row r="156" spans="1:31" x14ac:dyDescent="0.25">
      <c r="A156" s="97">
        <v>3</v>
      </c>
      <c r="B156" s="97">
        <v>2</v>
      </c>
      <c r="C156" s="101">
        <v>2019</v>
      </c>
      <c r="D156" s="119">
        <v>43582</v>
      </c>
      <c r="E156" s="116" t="s">
        <v>288</v>
      </c>
      <c r="F156" s="116" t="s">
        <v>254</v>
      </c>
      <c r="G156" s="97">
        <v>2</v>
      </c>
      <c r="H156" s="97">
        <v>4</v>
      </c>
      <c r="I156" s="120">
        <v>2</v>
      </c>
      <c r="J156" s="97">
        <v>6</v>
      </c>
      <c r="K156" s="97">
        <v>2</v>
      </c>
      <c r="L156" s="97">
        <v>1</v>
      </c>
      <c r="M156" s="97">
        <v>1</v>
      </c>
      <c r="AE156" s="98"/>
    </row>
    <row r="157" spans="1:31" x14ac:dyDescent="0.25">
      <c r="A157" s="97">
        <v>4</v>
      </c>
      <c r="B157" s="97">
        <v>2</v>
      </c>
      <c r="C157" s="101">
        <v>2019</v>
      </c>
      <c r="D157" s="119">
        <v>43589</v>
      </c>
      <c r="E157" s="116" t="s">
        <v>254</v>
      </c>
      <c r="F157" s="116" t="s">
        <v>282</v>
      </c>
      <c r="G157" s="97">
        <v>9</v>
      </c>
      <c r="H157" s="97">
        <v>1</v>
      </c>
      <c r="I157" s="120">
        <v>8</v>
      </c>
      <c r="J157" s="97">
        <v>10</v>
      </c>
      <c r="K157" s="97">
        <v>3</v>
      </c>
      <c r="L157" s="97">
        <v>1</v>
      </c>
      <c r="M157" s="97">
        <v>1</v>
      </c>
      <c r="AE157" s="98"/>
    </row>
    <row r="158" spans="1:31" x14ac:dyDescent="0.25">
      <c r="A158" s="97">
        <v>5</v>
      </c>
      <c r="B158" s="97">
        <v>2</v>
      </c>
      <c r="C158" s="101">
        <v>2019</v>
      </c>
      <c r="D158" s="119">
        <v>43593</v>
      </c>
      <c r="E158" s="116" t="s">
        <v>307</v>
      </c>
      <c r="F158" s="116" t="s">
        <v>254</v>
      </c>
      <c r="G158" s="97">
        <v>1</v>
      </c>
      <c r="H158" s="97">
        <v>2</v>
      </c>
      <c r="I158" s="120">
        <v>1</v>
      </c>
      <c r="J158" s="97">
        <v>3</v>
      </c>
      <c r="K158" s="97">
        <v>4</v>
      </c>
      <c r="L158" s="97">
        <v>1</v>
      </c>
      <c r="M158" s="97">
        <v>1</v>
      </c>
      <c r="AE158" s="98"/>
    </row>
    <row r="159" spans="1:31" x14ac:dyDescent="0.25">
      <c r="A159" s="97">
        <v>6</v>
      </c>
      <c r="B159" s="97">
        <v>2</v>
      </c>
      <c r="C159" s="101">
        <v>2019</v>
      </c>
      <c r="D159" s="119">
        <v>43597</v>
      </c>
      <c r="E159" s="116" t="s">
        <v>254</v>
      </c>
      <c r="F159" s="116" t="s">
        <v>253</v>
      </c>
      <c r="G159" s="97">
        <v>3</v>
      </c>
      <c r="H159" s="97">
        <v>3</v>
      </c>
      <c r="I159" s="120">
        <v>0</v>
      </c>
      <c r="J159" s="97">
        <v>6</v>
      </c>
      <c r="K159" s="97">
        <v>5</v>
      </c>
      <c r="L159" s="97">
        <v>1</v>
      </c>
      <c r="N159" s="97">
        <v>1</v>
      </c>
      <c r="AE159" s="98"/>
    </row>
    <row r="160" spans="1:31" x14ac:dyDescent="0.25">
      <c r="A160" s="97">
        <v>7</v>
      </c>
      <c r="B160" s="97">
        <v>2</v>
      </c>
      <c r="C160" s="101">
        <v>2019</v>
      </c>
      <c r="D160" s="119">
        <v>43602</v>
      </c>
      <c r="E160" s="116" t="s">
        <v>312</v>
      </c>
      <c r="F160" s="116" t="s">
        <v>254</v>
      </c>
      <c r="G160" s="97">
        <v>1</v>
      </c>
      <c r="H160" s="97">
        <v>2</v>
      </c>
      <c r="I160" s="120">
        <v>1</v>
      </c>
      <c r="J160" s="97">
        <v>3</v>
      </c>
      <c r="K160" s="97">
        <v>6</v>
      </c>
      <c r="L160" s="97">
        <v>1</v>
      </c>
      <c r="M160" s="97">
        <v>1</v>
      </c>
      <c r="AE160" s="98"/>
    </row>
    <row r="161" spans="1:31" x14ac:dyDescent="0.25">
      <c r="A161" s="97">
        <v>4</v>
      </c>
      <c r="B161" s="97" t="s">
        <v>335</v>
      </c>
      <c r="C161" s="101">
        <v>2019</v>
      </c>
      <c r="D161" s="119">
        <v>43604</v>
      </c>
      <c r="E161" s="116" t="s">
        <v>254</v>
      </c>
      <c r="F161" s="116" t="s">
        <v>337</v>
      </c>
      <c r="G161" s="97">
        <v>2</v>
      </c>
      <c r="H161" s="97">
        <v>3</v>
      </c>
      <c r="I161" s="120">
        <v>-1</v>
      </c>
      <c r="J161" s="97">
        <f>MATCHHISTORIK[[#This Row],[HL M]]+MATCHHISTORIK[[#This Row],[BL M]]</f>
        <v>5</v>
      </c>
      <c r="L161" s="97">
        <v>1</v>
      </c>
      <c r="O161" s="97">
        <v>1</v>
      </c>
      <c r="AE161" s="98"/>
    </row>
    <row r="162" spans="1:31" x14ac:dyDescent="0.25">
      <c r="A162" s="97">
        <v>8</v>
      </c>
      <c r="B162" s="97">
        <v>2</v>
      </c>
      <c r="C162" s="101">
        <v>2019</v>
      </c>
      <c r="D162" s="119">
        <v>43610</v>
      </c>
      <c r="E162" s="116" t="s">
        <v>254</v>
      </c>
      <c r="F162" s="116" t="s">
        <v>279</v>
      </c>
      <c r="G162" s="97">
        <v>9</v>
      </c>
      <c r="H162" s="97">
        <v>0</v>
      </c>
      <c r="I162" s="120">
        <v>9</v>
      </c>
      <c r="J162" s="97">
        <v>9</v>
      </c>
      <c r="K162" s="97">
        <v>7</v>
      </c>
      <c r="L162" s="97">
        <v>1</v>
      </c>
      <c r="M162" s="97">
        <v>1</v>
      </c>
      <c r="AE162" s="98"/>
    </row>
    <row r="163" spans="1:31" x14ac:dyDescent="0.25">
      <c r="A163" s="97">
        <v>9</v>
      </c>
      <c r="B163" s="97">
        <v>2</v>
      </c>
      <c r="C163" s="101">
        <v>2019</v>
      </c>
      <c r="D163" s="119">
        <v>43617</v>
      </c>
      <c r="E163" s="116" t="s">
        <v>284</v>
      </c>
      <c r="F163" s="116" t="s">
        <v>254</v>
      </c>
      <c r="G163" s="97">
        <v>2</v>
      </c>
      <c r="H163" s="97">
        <v>7</v>
      </c>
      <c r="I163" s="120">
        <v>5</v>
      </c>
      <c r="J163" s="97">
        <v>9</v>
      </c>
      <c r="K163" s="97">
        <v>8</v>
      </c>
      <c r="L163" s="97">
        <v>1</v>
      </c>
      <c r="M163" s="97">
        <v>1</v>
      </c>
      <c r="AE163" s="98"/>
    </row>
    <row r="164" spans="1:31" x14ac:dyDescent="0.25">
      <c r="A164" s="97">
        <v>10</v>
      </c>
      <c r="B164" s="97">
        <v>2</v>
      </c>
      <c r="C164" s="101">
        <v>2019</v>
      </c>
      <c r="D164" s="119">
        <v>43624</v>
      </c>
      <c r="E164" s="116" t="s">
        <v>254</v>
      </c>
      <c r="F164" s="116" t="s">
        <v>278</v>
      </c>
      <c r="G164" s="97">
        <v>7</v>
      </c>
      <c r="H164" s="97">
        <v>1</v>
      </c>
      <c r="I164" s="120">
        <v>6</v>
      </c>
      <c r="J164" s="97">
        <v>8</v>
      </c>
      <c r="K164" s="97">
        <v>9</v>
      </c>
      <c r="L164" s="97">
        <v>1</v>
      </c>
      <c r="M164" s="97">
        <v>1</v>
      </c>
      <c r="AE164" s="98"/>
    </row>
    <row r="165" spans="1:31" x14ac:dyDescent="0.25">
      <c r="A165" s="97">
        <v>11</v>
      </c>
      <c r="B165" s="97">
        <v>2</v>
      </c>
      <c r="C165" s="101">
        <v>2019</v>
      </c>
      <c r="D165" s="119">
        <v>43631</v>
      </c>
      <c r="E165" s="116" t="s">
        <v>263</v>
      </c>
      <c r="F165" s="116" t="s">
        <v>254</v>
      </c>
      <c r="G165" s="97">
        <v>1</v>
      </c>
      <c r="H165" s="97">
        <v>3</v>
      </c>
      <c r="I165" s="120">
        <v>2</v>
      </c>
      <c r="J165" s="97">
        <v>4</v>
      </c>
      <c r="K165" s="97">
        <v>10</v>
      </c>
      <c r="L165" s="97">
        <v>1</v>
      </c>
      <c r="M165" s="97">
        <v>1</v>
      </c>
      <c r="AE165" s="98"/>
    </row>
    <row r="166" spans="1:31" x14ac:dyDescent="0.25">
      <c r="A166" s="97">
        <v>12</v>
      </c>
      <c r="B166" s="97">
        <v>2</v>
      </c>
      <c r="C166" s="101">
        <v>2019</v>
      </c>
      <c r="D166" s="119">
        <v>43636</v>
      </c>
      <c r="E166" s="116" t="s">
        <v>254</v>
      </c>
      <c r="F166" s="116" t="s">
        <v>294</v>
      </c>
      <c r="G166" s="97">
        <v>8</v>
      </c>
      <c r="H166" s="97">
        <v>4</v>
      </c>
      <c r="I166" s="120">
        <v>4</v>
      </c>
      <c r="J166" s="97">
        <v>12</v>
      </c>
      <c r="K166" s="97">
        <v>11</v>
      </c>
      <c r="L166" s="97">
        <v>1</v>
      </c>
      <c r="M166" s="97">
        <v>1</v>
      </c>
      <c r="AE166" s="98"/>
    </row>
    <row r="167" spans="1:31" x14ac:dyDescent="0.25">
      <c r="A167" s="97">
        <v>13</v>
      </c>
      <c r="B167" s="97">
        <v>2</v>
      </c>
      <c r="C167" s="101">
        <v>2019</v>
      </c>
      <c r="D167" s="119">
        <v>43641</v>
      </c>
      <c r="E167" s="116" t="s">
        <v>286</v>
      </c>
      <c r="F167" s="116" t="s">
        <v>254</v>
      </c>
      <c r="G167" s="97">
        <v>3</v>
      </c>
      <c r="H167" s="97">
        <v>6</v>
      </c>
      <c r="I167" s="120">
        <v>3</v>
      </c>
      <c r="J167" s="97">
        <v>9</v>
      </c>
      <c r="K167" s="97">
        <v>12</v>
      </c>
      <c r="L167" s="97">
        <v>1</v>
      </c>
      <c r="M167" s="97">
        <v>1</v>
      </c>
      <c r="AE167" s="98"/>
    </row>
    <row r="168" spans="1:31" x14ac:dyDescent="0.25">
      <c r="A168" s="97">
        <v>14</v>
      </c>
      <c r="B168" s="97">
        <v>2</v>
      </c>
      <c r="C168" s="101">
        <v>2019</v>
      </c>
      <c r="D168" s="119">
        <v>43687</v>
      </c>
      <c r="E168" s="116" t="s">
        <v>254</v>
      </c>
      <c r="F168" s="116" t="s">
        <v>288</v>
      </c>
      <c r="G168" s="97">
        <v>7</v>
      </c>
      <c r="H168" s="97">
        <v>2</v>
      </c>
      <c r="I168" s="120">
        <v>5</v>
      </c>
      <c r="J168" s="97">
        <v>9</v>
      </c>
      <c r="K168" s="97">
        <v>13</v>
      </c>
      <c r="L168" s="97">
        <v>1</v>
      </c>
      <c r="M168" s="97">
        <v>1</v>
      </c>
      <c r="AE168" s="98"/>
    </row>
    <row r="169" spans="1:31" x14ac:dyDescent="0.25">
      <c r="A169" s="97">
        <v>15</v>
      </c>
      <c r="B169" s="97">
        <v>2</v>
      </c>
      <c r="C169" s="101">
        <v>2019</v>
      </c>
      <c r="D169" s="119">
        <v>43692</v>
      </c>
      <c r="E169" s="116" t="s">
        <v>282</v>
      </c>
      <c r="F169" s="116" t="s">
        <v>254</v>
      </c>
      <c r="G169" s="97">
        <v>0</v>
      </c>
      <c r="H169" s="97">
        <v>2</v>
      </c>
      <c r="I169" s="120">
        <v>2</v>
      </c>
      <c r="J169" s="97">
        <v>2</v>
      </c>
      <c r="K169" s="97">
        <v>14</v>
      </c>
      <c r="L169" s="97">
        <v>1</v>
      </c>
      <c r="M169" s="97">
        <v>1</v>
      </c>
      <c r="AE169" s="98"/>
    </row>
    <row r="170" spans="1:31" x14ac:dyDescent="0.25">
      <c r="A170" s="97">
        <v>16</v>
      </c>
      <c r="B170" s="97">
        <v>2</v>
      </c>
      <c r="C170" s="101">
        <v>2019</v>
      </c>
      <c r="D170" s="119">
        <v>43701</v>
      </c>
      <c r="E170" s="116" t="s">
        <v>254</v>
      </c>
      <c r="F170" s="116" t="s">
        <v>307</v>
      </c>
      <c r="G170" s="97">
        <v>5</v>
      </c>
      <c r="H170" s="97">
        <v>3</v>
      </c>
      <c r="I170" s="120">
        <v>2</v>
      </c>
      <c r="J170" s="97">
        <v>8</v>
      </c>
      <c r="K170" s="97">
        <v>15</v>
      </c>
      <c r="L170" s="97">
        <v>1</v>
      </c>
      <c r="M170" s="97">
        <v>1</v>
      </c>
      <c r="AE170" s="98"/>
    </row>
    <row r="171" spans="1:31" x14ac:dyDescent="0.25">
      <c r="A171" s="97">
        <v>17</v>
      </c>
      <c r="B171" s="97">
        <v>2</v>
      </c>
      <c r="C171" s="101">
        <v>2019</v>
      </c>
      <c r="D171" s="119">
        <v>43709</v>
      </c>
      <c r="E171" s="116" t="s">
        <v>253</v>
      </c>
      <c r="F171" s="116" t="s">
        <v>254</v>
      </c>
      <c r="G171" s="97">
        <v>2</v>
      </c>
      <c r="H171" s="97">
        <v>4</v>
      </c>
      <c r="I171" s="120">
        <v>2</v>
      </c>
      <c r="J171" s="97">
        <v>6</v>
      </c>
      <c r="K171" s="97">
        <v>16</v>
      </c>
      <c r="L171" s="97">
        <v>1</v>
      </c>
      <c r="M171" s="97">
        <v>1</v>
      </c>
      <c r="AE171" s="98"/>
    </row>
    <row r="172" spans="1:31" x14ac:dyDescent="0.25">
      <c r="A172" s="97">
        <v>18</v>
      </c>
      <c r="B172" s="97">
        <v>2</v>
      </c>
      <c r="C172" s="101">
        <v>2019</v>
      </c>
      <c r="D172" s="119">
        <v>43715</v>
      </c>
      <c r="E172" s="116" t="s">
        <v>254</v>
      </c>
      <c r="F172" s="116" t="s">
        <v>312</v>
      </c>
      <c r="G172" s="97">
        <v>4</v>
      </c>
      <c r="H172" s="97">
        <v>0</v>
      </c>
      <c r="I172" s="120">
        <v>4</v>
      </c>
      <c r="J172" s="97">
        <v>4</v>
      </c>
      <c r="K172" s="97">
        <v>17</v>
      </c>
      <c r="L172" s="97">
        <v>1</v>
      </c>
      <c r="M172" s="97">
        <v>1</v>
      </c>
      <c r="AE172" s="98"/>
    </row>
    <row r="173" spans="1:31" x14ac:dyDescent="0.25">
      <c r="A173" s="97">
        <v>19</v>
      </c>
      <c r="B173" s="97">
        <v>2</v>
      </c>
      <c r="C173" s="101">
        <v>2019</v>
      </c>
      <c r="D173" s="119">
        <v>43722</v>
      </c>
      <c r="E173" s="116" t="s">
        <v>279</v>
      </c>
      <c r="F173" s="116" t="s">
        <v>254</v>
      </c>
      <c r="G173" s="97">
        <v>2</v>
      </c>
      <c r="H173" s="97">
        <v>3</v>
      </c>
      <c r="I173" s="120">
        <v>1</v>
      </c>
      <c r="J173" s="97">
        <v>5</v>
      </c>
      <c r="K173" s="97">
        <v>18</v>
      </c>
      <c r="L173" s="97">
        <v>1</v>
      </c>
      <c r="M173" s="97">
        <v>1</v>
      </c>
      <c r="AE173" s="98"/>
    </row>
    <row r="174" spans="1:31" x14ac:dyDescent="0.25">
      <c r="A174" s="97">
        <v>20</v>
      </c>
      <c r="B174" s="97">
        <v>2</v>
      </c>
      <c r="C174" s="101">
        <v>2019</v>
      </c>
      <c r="D174" s="119">
        <v>43729</v>
      </c>
      <c r="E174" s="116" t="s">
        <v>254</v>
      </c>
      <c r="F174" s="116" t="s">
        <v>284</v>
      </c>
      <c r="G174" s="97">
        <v>4</v>
      </c>
      <c r="H174" s="97">
        <v>0</v>
      </c>
      <c r="I174" s="120">
        <v>4</v>
      </c>
      <c r="J174" s="97">
        <v>4</v>
      </c>
      <c r="K174" s="97">
        <v>19</v>
      </c>
      <c r="L174" s="97">
        <v>1</v>
      </c>
      <c r="M174" s="97">
        <v>1</v>
      </c>
      <c r="AE174" s="98"/>
    </row>
    <row r="175" spans="1:31" x14ac:dyDescent="0.25">
      <c r="A175" s="97">
        <v>21</v>
      </c>
      <c r="B175" s="97">
        <v>2</v>
      </c>
      <c r="C175" s="101">
        <v>2019</v>
      </c>
      <c r="D175" s="119">
        <v>43736</v>
      </c>
      <c r="E175" s="116" t="s">
        <v>278</v>
      </c>
      <c r="F175" s="116" t="s">
        <v>254</v>
      </c>
      <c r="G175" s="97">
        <v>0</v>
      </c>
      <c r="H175" s="97">
        <v>2</v>
      </c>
      <c r="I175" s="120">
        <v>2</v>
      </c>
      <c r="J175" s="97">
        <v>2</v>
      </c>
      <c r="K175" s="97">
        <v>20</v>
      </c>
      <c r="L175" s="97">
        <v>1</v>
      </c>
      <c r="M175" s="97">
        <v>1</v>
      </c>
      <c r="AE175" s="98"/>
    </row>
    <row r="176" spans="1:31" x14ac:dyDescent="0.25">
      <c r="A176" s="97">
        <v>22</v>
      </c>
      <c r="B176" s="97">
        <v>2</v>
      </c>
      <c r="C176" s="101">
        <v>2019</v>
      </c>
      <c r="D176" s="119">
        <v>43743</v>
      </c>
      <c r="E176" s="116" t="s">
        <v>254</v>
      </c>
      <c r="F176" s="116" t="s">
        <v>263</v>
      </c>
      <c r="G176" s="97">
        <v>6</v>
      </c>
      <c r="H176" s="97">
        <v>1</v>
      </c>
      <c r="I176" s="120">
        <v>5</v>
      </c>
      <c r="J176" s="97">
        <v>7</v>
      </c>
      <c r="K176" s="97">
        <v>21</v>
      </c>
      <c r="L176" s="97">
        <v>1</v>
      </c>
      <c r="M176" s="97">
        <v>1</v>
      </c>
      <c r="AE176" s="98"/>
    </row>
    <row r="177" spans="1:31" x14ac:dyDescent="0.25">
      <c r="A177" s="97">
        <v>13</v>
      </c>
      <c r="B177" s="97">
        <v>1</v>
      </c>
      <c r="C177" s="101">
        <v>2020</v>
      </c>
      <c r="D177" s="119">
        <v>43996</v>
      </c>
      <c r="E177" s="116" t="s">
        <v>254</v>
      </c>
      <c r="F177" s="116" t="s">
        <v>323</v>
      </c>
      <c r="G177" s="97">
        <v>3</v>
      </c>
      <c r="H177" s="97">
        <v>3</v>
      </c>
      <c r="I177" s="120">
        <v>0</v>
      </c>
      <c r="J177" s="97">
        <v>6</v>
      </c>
      <c r="K177" s="97">
        <v>22</v>
      </c>
      <c r="L177" s="97">
        <v>1</v>
      </c>
      <c r="N177" s="97">
        <v>1</v>
      </c>
      <c r="AE177" s="98"/>
    </row>
    <row r="178" spans="1:31" x14ac:dyDescent="0.25">
      <c r="A178" s="97">
        <v>12</v>
      </c>
      <c r="B178" s="97">
        <v>1</v>
      </c>
      <c r="C178" s="101">
        <v>2020</v>
      </c>
      <c r="D178" s="119">
        <v>44009</v>
      </c>
      <c r="E178" s="116" t="s">
        <v>324</v>
      </c>
      <c r="F178" s="116" t="s">
        <v>254</v>
      </c>
      <c r="G178" s="97">
        <v>1</v>
      </c>
      <c r="H178" s="97">
        <v>0</v>
      </c>
      <c r="I178" s="120">
        <v>-1</v>
      </c>
      <c r="J178" s="97">
        <v>1</v>
      </c>
      <c r="L178" s="97"/>
      <c r="O178" s="97">
        <v>1</v>
      </c>
      <c r="AE178" s="98"/>
    </row>
    <row r="179" spans="1:31" x14ac:dyDescent="0.25">
      <c r="A179" s="97">
        <v>15</v>
      </c>
      <c r="B179" s="97">
        <v>1</v>
      </c>
      <c r="C179" s="101">
        <v>2020</v>
      </c>
      <c r="D179" s="119">
        <v>44058</v>
      </c>
      <c r="E179" s="116" t="s">
        <v>254</v>
      </c>
      <c r="F179" s="116" t="s">
        <v>333</v>
      </c>
      <c r="G179" s="97">
        <v>0</v>
      </c>
      <c r="H179" s="97">
        <v>10</v>
      </c>
      <c r="I179" s="120">
        <v>-10</v>
      </c>
      <c r="J179" s="97">
        <v>10</v>
      </c>
      <c r="L179" s="97"/>
      <c r="O179" s="97">
        <v>1</v>
      </c>
      <c r="AE179" s="98"/>
    </row>
    <row r="180" spans="1:31" x14ac:dyDescent="0.25">
      <c r="A180" s="97">
        <v>16</v>
      </c>
      <c r="B180" s="97">
        <v>1</v>
      </c>
      <c r="C180" s="101">
        <v>2020</v>
      </c>
      <c r="D180" s="119">
        <v>44065</v>
      </c>
      <c r="E180" s="116" t="s">
        <v>321</v>
      </c>
      <c r="F180" s="116" t="s">
        <v>254</v>
      </c>
      <c r="G180" s="97">
        <v>3</v>
      </c>
      <c r="H180" s="97">
        <v>3</v>
      </c>
      <c r="I180" s="120">
        <v>0</v>
      </c>
      <c r="J180" s="97">
        <v>6</v>
      </c>
      <c r="K180" s="97">
        <v>1</v>
      </c>
      <c r="L180" s="97">
        <v>1</v>
      </c>
      <c r="N180" s="97">
        <v>1</v>
      </c>
      <c r="AE180" s="98"/>
    </row>
    <row r="181" spans="1:31" x14ac:dyDescent="0.25">
      <c r="A181" s="97">
        <v>17</v>
      </c>
      <c r="B181" s="97">
        <v>1</v>
      </c>
      <c r="C181" s="101">
        <v>2020</v>
      </c>
      <c r="D181" s="119">
        <v>44072</v>
      </c>
      <c r="E181" s="116" t="s">
        <v>254</v>
      </c>
      <c r="F181" s="116" t="s">
        <v>326</v>
      </c>
      <c r="G181" s="97">
        <v>3</v>
      </c>
      <c r="H181" s="97">
        <v>4</v>
      </c>
      <c r="I181" s="120">
        <v>-1</v>
      </c>
      <c r="J181" s="97">
        <v>7</v>
      </c>
      <c r="L181" s="97">
        <v>1</v>
      </c>
      <c r="O181" s="97">
        <v>1</v>
      </c>
      <c r="AE181" s="98"/>
    </row>
    <row r="182" spans="1:31" x14ac:dyDescent="0.25">
      <c r="A182" s="97">
        <v>18</v>
      </c>
      <c r="B182" s="97">
        <v>1</v>
      </c>
      <c r="C182" s="101">
        <v>2020</v>
      </c>
      <c r="D182" s="119">
        <v>44079</v>
      </c>
      <c r="E182" s="116" t="s">
        <v>334</v>
      </c>
      <c r="F182" s="116" t="s">
        <v>254</v>
      </c>
      <c r="G182" s="97">
        <v>11</v>
      </c>
      <c r="H182" s="97">
        <v>0</v>
      </c>
      <c r="I182" s="120">
        <v>-11</v>
      </c>
      <c r="J182" s="97">
        <v>11</v>
      </c>
      <c r="L182" s="97"/>
      <c r="O182" s="97">
        <v>1</v>
      </c>
      <c r="AE182" s="98"/>
    </row>
    <row r="183" spans="1:31" x14ac:dyDescent="0.25">
      <c r="A183" s="97">
        <v>19</v>
      </c>
      <c r="B183" s="97">
        <v>1</v>
      </c>
      <c r="C183" s="101">
        <v>2020</v>
      </c>
      <c r="D183" s="119">
        <v>44086</v>
      </c>
      <c r="E183" s="116" t="s">
        <v>254</v>
      </c>
      <c r="F183" s="116" t="s">
        <v>330</v>
      </c>
      <c r="G183" s="97">
        <v>0</v>
      </c>
      <c r="H183" s="97">
        <v>7</v>
      </c>
      <c r="I183" s="120">
        <v>-7</v>
      </c>
      <c r="J183" s="97">
        <v>7</v>
      </c>
      <c r="L183" s="97"/>
      <c r="O183" s="97">
        <v>1</v>
      </c>
      <c r="AE183" s="98"/>
    </row>
    <row r="184" spans="1:31" x14ac:dyDescent="0.25">
      <c r="A184" s="97">
        <v>20</v>
      </c>
      <c r="B184" s="97">
        <v>1</v>
      </c>
      <c r="C184" s="101">
        <v>2020</v>
      </c>
      <c r="D184" s="119">
        <v>44093</v>
      </c>
      <c r="E184" s="116" t="s">
        <v>327</v>
      </c>
      <c r="F184" s="116" t="s">
        <v>254</v>
      </c>
      <c r="G184" s="97">
        <v>2</v>
      </c>
      <c r="H184" s="97">
        <v>1</v>
      </c>
      <c r="I184" s="120">
        <v>-1</v>
      </c>
      <c r="J184" s="97">
        <v>3</v>
      </c>
      <c r="L184" s="97">
        <v>1</v>
      </c>
      <c r="O184" s="97">
        <v>1</v>
      </c>
      <c r="AE184" s="98"/>
    </row>
    <row r="185" spans="1:31" x14ac:dyDescent="0.25">
      <c r="A185" s="97">
        <v>21</v>
      </c>
      <c r="B185" s="97">
        <v>1</v>
      </c>
      <c r="C185" s="101">
        <v>2020</v>
      </c>
      <c r="D185" s="119">
        <v>44100</v>
      </c>
      <c r="E185" s="116" t="s">
        <v>272</v>
      </c>
      <c r="F185" s="116" t="s">
        <v>254</v>
      </c>
      <c r="G185" s="97">
        <v>4</v>
      </c>
      <c r="H185" s="97">
        <v>0</v>
      </c>
      <c r="I185" s="120">
        <v>-4</v>
      </c>
      <c r="J185" s="97">
        <v>4</v>
      </c>
      <c r="L185" s="97"/>
      <c r="O185" s="97">
        <v>1</v>
      </c>
      <c r="AE185" s="98"/>
    </row>
    <row r="186" spans="1:31" x14ac:dyDescent="0.25">
      <c r="A186" s="97">
        <v>22</v>
      </c>
      <c r="B186" s="97">
        <v>1</v>
      </c>
      <c r="C186" s="101">
        <v>2020</v>
      </c>
      <c r="D186" s="119">
        <v>44107</v>
      </c>
      <c r="E186" s="116" t="s">
        <v>254</v>
      </c>
      <c r="F186" s="116" t="s">
        <v>270</v>
      </c>
      <c r="G186" s="97">
        <v>0</v>
      </c>
      <c r="H186" s="97">
        <v>9</v>
      </c>
      <c r="I186" s="120">
        <v>-9</v>
      </c>
      <c r="J186" s="97">
        <v>9</v>
      </c>
      <c r="L186" s="97"/>
      <c r="O186" s="97">
        <v>1</v>
      </c>
      <c r="AE186" s="98"/>
    </row>
    <row r="187" spans="1:31" x14ac:dyDescent="0.25">
      <c r="A187" s="97">
        <v>12</v>
      </c>
      <c r="B187" s="97">
        <v>2</v>
      </c>
      <c r="C187" s="101">
        <v>2021</v>
      </c>
      <c r="D187" s="119">
        <v>44375</v>
      </c>
      <c r="E187" s="116" t="s">
        <v>254</v>
      </c>
      <c r="F187" s="116" t="s">
        <v>283</v>
      </c>
      <c r="G187" s="97">
        <v>2</v>
      </c>
      <c r="H187" s="97">
        <v>1</v>
      </c>
      <c r="I187" s="120">
        <v>1</v>
      </c>
      <c r="J187" s="97">
        <v>3</v>
      </c>
      <c r="K187" s="97">
        <v>1</v>
      </c>
      <c r="L187" s="97">
        <v>1</v>
      </c>
      <c r="M187" s="97">
        <v>1</v>
      </c>
      <c r="AE187" s="98"/>
    </row>
    <row r="188" spans="1:31" x14ac:dyDescent="0.25">
      <c r="A188" s="97">
        <v>13</v>
      </c>
      <c r="B188" s="97">
        <v>2</v>
      </c>
      <c r="C188" s="101">
        <v>2021</v>
      </c>
      <c r="D188" s="119">
        <v>44379</v>
      </c>
      <c r="E188" s="116" t="s">
        <v>296</v>
      </c>
      <c r="F188" s="116" t="s">
        <v>254</v>
      </c>
      <c r="G188" s="97">
        <v>0</v>
      </c>
      <c r="H188" s="97">
        <v>5</v>
      </c>
      <c r="I188" s="120">
        <v>5</v>
      </c>
      <c r="J188" s="97">
        <v>5</v>
      </c>
      <c r="K188" s="97">
        <v>2</v>
      </c>
      <c r="L188" s="97">
        <v>1</v>
      </c>
      <c r="M188" s="97">
        <v>1</v>
      </c>
      <c r="AE188" s="98"/>
    </row>
    <row r="189" spans="1:31" x14ac:dyDescent="0.25">
      <c r="A189" s="97">
        <v>14</v>
      </c>
      <c r="B189" s="97">
        <v>2</v>
      </c>
      <c r="C189" s="101">
        <v>2021</v>
      </c>
      <c r="D189" s="119">
        <v>44421</v>
      </c>
      <c r="E189" s="116" t="s">
        <v>254</v>
      </c>
      <c r="F189" s="116" t="s">
        <v>300</v>
      </c>
      <c r="G189" s="97">
        <v>0</v>
      </c>
      <c r="H189" s="97">
        <v>3</v>
      </c>
      <c r="I189" s="120">
        <v>-3</v>
      </c>
      <c r="J189" s="97">
        <v>3</v>
      </c>
      <c r="L189" s="97"/>
      <c r="O189" s="97">
        <v>1</v>
      </c>
      <c r="AE189" s="98"/>
    </row>
    <row r="190" spans="1:31" x14ac:dyDescent="0.25">
      <c r="A190" s="97">
        <v>15</v>
      </c>
      <c r="B190" s="97">
        <v>2</v>
      </c>
      <c r="C190" s="101">
        <v>2021</v>
      </c>
      <c r="D190" s="119">
        <v>44429</v>
      </c>
      <c r="E190" s="116" t="s">
        <v>292</v>
      </c>
      <c r="F190" s="116" t="s">
        <v>254</v>
      </c>
      <c r="G190" s="97">
        <v>1</v>
      </c>
      <c r="H190" s="97">
        <v>1</v>
      </c>
      <c r="I190" s="120">
        <v>0</v>
      </c>
      <c r="J190" s="97">
        <v>2</v>
      </c>
      <c r="K190" s="97">
        <v>1</v>
      </c>
      <c r="L190" s="97">
        <v>1</v>
      </c>
      <c r="N190" s="97">
        <v>1</v>
      </c>
      <c r="AE190" s="98"/>
    </row>
    <row r="191" spans="1:31" x14ac:dyDescent="0.25">
      <c r="A191" s="97">
        <v>16</v>
      </c>
      <c r="B191" s="97">
        <v>2</v>
      </c>
      <c r="C191" s="101">
        <v>2021</v>
      </c>
      <c r="D191" s="119">
        <v>44436</v>
      </c>
      <c r="E191" s="116" t="s">
        <v>254</v>
      </c>
      <c r="F191" s="116" t="s">
        <v>322</v>
      </c>
      <c r="G191" s="97">
        <v>0</v>
      </c>
      <c r="H191" s="97">
        <v>0</v>
      </c>
      <c r="I191" s="120">
        <v>0</v>
      </c>
      <c r="J191" s="97">
        <v>0</v>
      </c>
      <c r="K191" s="97">
        <v>2</v>
      </c>
      <c r="L191" s="97"/>
      <c r="N191" s="97">
        <v>1</v>
      </c>
      <c r="AE191" s="98"/>
    </row>
    <row r="192" spans="1:31" x14ac:dyDescent="0.25">
      <c r="A192" s="97">
        <v>17</v>
      </c>
      <c r="B192" s="97">
        <v>2</v>
      </c>
      <c r="C192" s="101">
        <v>2021</v>
      </c>
      <c r="D192" s="119">
        <v>44443</v>
      </c>
      <c r="E192" s="116" t="s">
        <v>254</v>
      </c>
      <c r="F192" s="116" t="s">
        <v>308</v>
      </c>
      <c r="G192" s="97">
        <v>1</v>
      </c>
      <c r="H192" s="97">
        <v>2</v>
      </c>
      <c r="I192" s="120">
        <v>-1</v>
      </c>
      <c r="J192" s="97">
        <v>3</v>
      </c>
      <c r="L192" s="97">
        <v>1</v>
      </c>
      <c r="O192" s="97">
        <v>1</v>
      </c>
      <c r="AE192" s="98"/>
    </row>
    <row r="193" spans="1:31" x14ac:dyDescent="0.25">
      <c r="A193" s="97">
        <v>18</v>
      </c>
      <c r="B193" s="97">
        <v>2</v>
      </c>
      <c r="C193" s="101">
        <v>2021</v>
      </c>
      <c r="D193" s="119">
        <v>44450</v>
      </c>
      <c r="E193" s="116" t="s">
        <v>331</v>
      </c>
      <c r="F193" s="116" t="s">
        <v>254</v>
      </c>
      <c r="G193" s="97">
        <v>8</v>
      </c>
      <c r="H193" s="97">
        <v>3</v>
      </c>
      <c r="I193" s="120">
        <v>-5</v>
      </c>
      <c r="J193" s="97">
        <v>11</v>
      </c>
      <c r="L193" s="97">
        <v>1</v>
      </c>
      <c r="O193" s="97">
        <v>1</v>
      </c>
      <c r="AE193" s="98"/>
    </row>
    <row r="194" spans="1:31" x14ac:dyDescent="0.25">
      <c r="A194" s="97">
        <v>19</v>
      </c>
      <c r="B194" s="97">
        <v>2</v>
      </c>
      <c r="C194" s="101">
        <v>2021</v>
      </c>
      <c r="D194" s="119">
        <v>44457</v>
      </c>
      <c r="E194" s="116" t="s">
        <v>254</v>
      </c>
      <c r="F194" s="116" t="s">
        <v>256</v>
      </c>
      <c r="G194" s="97">
        <v>1</v>
      </c>
      <c r="H194" s="97">
        <v>2</v>
      </c>
      <c r="I194" s="120">
        <v>-1</v>
      </c>
      <c r="J194" s="97">
        <v>3</v>
      </c>
      <c r="L194" s="97">
        <v>1</v>
      </c>
      <c r="O194" s="97">
        <v>1</v>
      </c>
      <c r="AE194" s="98"/>
    </row>
    <row r="195" spans="1:31" x14ac:dyDescent="0.25">
      <c r="A195" s="97">
        <v>20</v>
      </c>
      <c r="B195" s="97">
        <v>2</v>
      </c>
      <c r="C195" s="101">
        <v>2021</v>
      </c>
      <c r="D195" s="119">
        <v>44464</v>
      </c>
      <c r="E195" s="116" t="s">
        <v>305</v>
      </c>
      <c r="F195" s="116" t="s">
        <v>254</v>
      </c>
      <c r="G195" s="97">
        <v>3</v>
      </c>
      <c r="H195" s="97">
        <v>6</v>
      </c>
      <c r="I195" s="120">
        <v>3</v>
      </c>
      <c r="J195" s="97">
        <v>9</v>
      </c>
      <c r="K195" s="97">
        <v>1</v>
      </c>
      <c r="L195" s="97">
        <v>1</v>
      </c>
      <c r="M195" s="97">
        <v>1</v>
      </c>
      <c r="AE195" s="98"/>
    </row>
    <row r="196" spans="1:31" x14ac:dyDescent="0.25">
      <c r="A196" s="97">
        <v>21</v>
      </c>
      <c r="B196" s="97">
        <v>2</v>
      </c>
      <c r="C196" s="101">
        <v>2021</v>
      </c>
      <c r="D196" s="119">
        <v>44471</v>
      </c>
      <c r="E196" s="116" t="s">
        <v>254</v>
      </c>
      <c r="F196" s="116" t="s">
        <v>316</v>
      </c>
      <c r="G196" s="97">
        <v>2</v>
      </c>
      <c r="H196" s="97">
        <v>1</v>
      </c>
      <c r="I196" s="120">
        <v>1</v>
      </c>
      <c r="J196" s="97">
        <v>3</v>
      </c>
      <c r="K196" s="97">
        <v>2</v>
      </c>
      <c r="L196" s="97">
        <v>1</v>
      </c>
      <c r="M196" s="97">
        <v>1</v>
      </c>
      <c r="AE196" s="98"/>
    </row>
    <row r="197" spans="1:31" x14ac:dyDescent="0.25">
      <c r="A197" s="97">
        <v>22</v>
      </c>
      <c r="B197" s="97">
        <v>2</v>
      </c>
      <c r="C197" s="101">
        <v>2021</v>
      </c>
      <c r="D197" s="119">
        <v>44478</v>
      </c>
      <c r="E197" s="116" t="s">
        <v>275</v>
      </c>
      <c r="F197" s="116" t="s">
        <v>254</v>
      </c>
      <c r="G197" s="97">
        <v>0</v>
      </c>
      <c r="H197" s="97">
        <v>7</v>
      </c>
      <c r="I197" s="120">
        <v>7</v>
      </c>
      <c r="J197" s="97">
        <v>7</v>
      </c>
      <c r="K197" s="97">
        <v>3</v>
      </c>
      <c r="L197" s="97">
        <v>1</v>
      </c>
      <c r="M197" s="97">
        <v>1</v>
      </c>
      <c r="AE197" s="98"/>
    </row>
    <row r="198" spans="1:31" x14ac:dyDescent="0.25">
      <c r="A198" s="97">
        <v>1</v>
      </c>
      <c r="B198" s="97" t="s">
        <v>335</v>
      </c>
      <c r="C198" s="101">
        <v>2022</v>
      </c>
      <c r="D198" s="119">
        <v>44624</v>
      </c>
      <c r="E198" s="116" t="s">
        <v>267</v>
      </c>
      <c r="F198" s="116" t="s">
        <v>254</v>
      </c>
      <c r="G198" s="97">
        <v>0</v>
      </c>
      <c r="H198" s="97">
        <v>3</v>
      </c>
      <c r="I198" s="120">
        <v>3</v>
      </c>
      <c r="J198" s="97">
        <f>MATCHHISTORIK[[#This Row],[HL M]]+MATCHHISTORIK[[#This Row],[BL M]]</f>
        <v>3</v>
      </c>
      <c r="K198" s="97">
        <v>4</v>
      </c>
      <c r="L198" s="97">
        <v>1</v>
      </c>
      <c r="M198" s="97">
        <v>1</v>
      </c>
      <c r="AE198" s="98"/>
    </row>
    <row r="199" spans="1:31" x14ac:dyDescent="0.25">
      <c r="A199" s="97">
        <v>2</v>
      </c>
      <c r="B199" s="97" t="s">
        <v>335</v>
      </c>
      <c r="C199" s="101">
        <v>2022</v>
      </c>
      <c r="D199" s="119">
        <v>44632</v>
      </c>
      <c r="E199" s="116" t="s">
        <v>258</v>
      </c>
      <c r="F199" s="116" t="s">
        <v>254</v>
      </c>
      <c r="G199" s="97">
        <v>1</v>
      </c>
      <c r="H199" s="97">
        <v>3</v>
      </c>
      <c r="I199" s="120">
        <v>2</v>
      </c>
      <c r="J199" s="97">
        <f>MATCHHISTORIK[[#This Row],[HL M]]+MATCHHISTORIK[[#This Row],[BL M]]</f>
        <v>4</v>
      </c>
      <c r="K199" s="97">
        <v>5</v>
      </c>
      <c r="L199" s="97">
        <v>1</v>
      </c>
      <c r="M199" s="97">
        <v>1</v>
      </c>
      <c r="AE199" s="98"/>
    </row>
    <row r="200" spans="1:31" x14ac:dyDescent="0.25">
      <c r="A200" s="97">
        <v>3</v>
      </c>
      <c r="B200" s="97" t="s">
        <v>335</v>
      </c>
      <c r="C200" s="101">
        <v>2022</v>
      </c>
      <c r="D200" s="119">
        <v>44639</v>
      </c>
      <c r="E200" s="116" t="s">
        <v>254</v>
      </c>
      <c r="F200" s="116" t="s">
        <v>293</v>
      </c>
      <c r="G200" s="97">
        <v>3</v>
      </c>
      <c r="H200" s="97">
        <v>0</v>
      </c>
      <c r="I200" s="120">
        <v>3</v>
      </c>
      <c r="J200" s="97">
        <f>MATCHHISTORIK[[#This Row],[HL M]]+MATCHHISTORIK[[#This Row],[BL M]]</f>
        <v>3</v>
      </c>
      <c r="K200" s="97">
        <v>6</v>
      </c>
      <c r="L200" s="97">
        <v>1</v>
      </c>
      <c r="M200" s="97">
        <v>1</v>
      </c>
      <c r="AE200" s="98"/>
    </row>
    <row r="201" spans="1:31" x14ac:dyDescent="0.25">
      <c r="A201" s="97">
        <v>4</v>
      </c>
      <c r="B201" s="97" t="s">
        <v>335</v>
      </c>
      <c r="C201" s="101">
        <v>2022</v>
      </c>
      <c r="D201" s="119">
        <v>44654</v>
      </c>
      <c r="E201" s="116" t="s">
        <v>272</v>
      </c>
      <c r="F201" s="116" t="s">
        <v>254</v>
      </c>
      <c r="G201" s="97">
        <v>2</v>
      </c>
      <c r="H201" s="97">
        <v>5</v>
      </c>
      <c r="I201" s="120">
        <v>3</v>
      </c>
      <c r="J201" s="97">
        <f>MATCHHISTORIK[[#This Row],[HL M]]+MATCHHISTORIK[[#This Row],[BL M]]</f>
        <v>7</v>
      </c>
      <c r="K201" s="97">
        <v>7</v>
      </c>
      <c r="L201" s="97">
        <v>1</v>
      </c>
      <c r="M201" s="97">
        <v>1</v>
      </c>
      <c r="AE201" s="98"/>
    </row>
    <row r="202" spans="1:31" x14ac:dyDescent="0.25">
      <c r="A202" s="97">
        <v>1</v>
      </c>
      <c r="B202" s="97">
        <v>2</v>
      </c>
      <c r="C202" s="101">
        <v>2022</v>
      </c>
      <c r="D202" s="119">
        <v>44660</v>
      </c>
      <c r="E202" s="116" t="s">
        <v>254</v>
      </c>
      <c r="F202" s="116" t="s">
        <v>273</v>
      </c>
      <c r="G202" s="97">
        <v>1</v>
      </c>
      <c r="H202" s="97">
        <v>0</v>
      </c>
      <c r="I202" s="120">
        <v>1</v>
      </c>
      <c r="J202" s="97">
        <v>1</v>
      </c>
      <c r="K202" s="97">
        <v>8</v>
      </c>
      <c r="L202" s="97">
        <v>1</v>
      </c>
      <c r="M202" s="97">
        <v>1</v>
      </c>
      <c r="AE202" s="98"/>
    </row>
    <row r="203" spans="1:31" x14ac:dyDescent="0.25">
      <c r="A203" s="97">
        <v>2</v>
      </c>
      <c r="B203" s="97">
        <v>2</v>
      </c>
      <c r="C203" s="101">
        <v>2022</v>
      </c>
      <c r="D203" s="119">
        <v>44669</v>
      </c>
      <c r="E203" s="116" t="s">
        <v>281</v>
      </c>
      <c r="F203" s="116" t="s">
        <v>254</v>
      </c>
      <c r="G203" s="97">
        <v>1</v>
      </c>
      <c r="H203" s="97">
        <v>4</v>
      </c>
      <c r="I203" s="120">
        <v>3</v>
      </c>
      <c r="J203" s="97">
        <v>5</v>
      </c>
      <c r="K203" s="97">
        <v>9</v>
      </c>
      <c r="L203" s="97">
        <v>1</v>
      </c>
      <c r="M203" s="97">
        <v>1</v>
      </c>
      <c r="AE203" s="98"/>
    </row>
    <row r="204" spans="1:31" x14ac:dyDescent="0.25">
      <c r="A204" s="97">
        <v>3</v>
      </c>
      <c r="B204" s="97">
        <v>2</v>
      </c>
      <c r="C204" s="101">
        <v>2022</v>
      </c>
      <c r="D204" s="119">
        <v>44674</v>
      </c>
      <c r="E204" s="116" t="s">
        <v>254</v>
      </c>
      <c r="F204" s="116" t="s">
        <v>301</v>
      </c>
      <c r="G204" s="97">
        <v>2</v>
      </c>
      <c r="H204" s="97">
        <v>2</v>
      </c>
      <c r="I204" s="120">
        <v>0</v>
      </c>
      <c r="J204" s="97">
        <v>4</v>
      </c>
      <c r="K204" s="97">
        <v>10</v>
      </c>
      <c r="L204" s="97">
        <v>1</v>
      </c>
      <c r="N204" s="97">
        <v>1</v>
      </c>
      <c r="AE204" s="98"/>
    </row>
    <row r="205" spans="1:31" x14ac:dyDescent="0.25">
      <c r="A205" s="97">
        <v>4</v>
      </c>
      <c r="B205" s="97">
        <v>2</v>
      </c>
      <c r="C205" s="101">
        <v>2022</v>
      </c>
      <c r="D205" s="119">
        <v>44682</v>
      </c>
      <c r="E205" s="116" t="s">
        <v>254</v>
      </c>
      <c r="F205" s="116" t="s">
        <v>319</v>
      </c>
      <c r="G205" s="97">
        <v>3</v>
      </c>
      <c r="H205" s="97">
        <v>3</v>
      </c>
      <c r="I205" s="120">
        <v>0</v>
      </c>
      <c r="J205" s="97">
        <v>6</v>
      </c>
      <c r="K205" s="97">
        <v>11</v>
      </c>
      <c r="L205" s="97">
        <v>1</v>
      </c>
      <c r="N205" s="97">
        <v>1</v>
      </c>
      <c r="AE205" s="98"/>
    </row>
    <row r="206" spans="1:31" x14ac:dyDescent="0.25">
      <c r="A206" s="97">
        <v>5</v>
      </c>
      <c r="B206" s="97">
        <v>2</v>
      </c>
      <c r="C206" s="101">
        <v>2022</v>
      </c>
      <c r="D206" s="119">
        <v>44690</v>
      </c>
      <c r="E206" s="116" t="s">
        <v>256</v>
      </c>
      <c r="F206" s="116" t="s">
        <v>254</v>
      </c>
      <c r="G206" s="97">
        <v>0</v>
      </c>
      <c r="H206" s="97">
        <v>1</v>
      </c>
      <c r="I206" s="120">
        <v>1</v>
      </c>
      <c r="J206" s="97">
        <v>1</v>
      </c>
      <c r="K206" s="97">
        <v>12</v>
      </c>
      <c r="L206" s="97">
        <v>1</v>
      </c>
      <c r="M206" s="97">
        <v>1</v>
      </c>
      <c r="AE206" s="98"/>
    </row>
    <row r="207" spans="1:31" x14ac:dyDescent="0.25">
      <c r="A207" s="97">
        <v>6</v>
      </c>
      <c r="B207" s="97">
        <v>2</v>
      </c>
      <c r="C207" s="101">
        <v>2022</v>
      </c>
      <c r="D207" s="119">
        <v>44694</v>
      </c>
      <c r="E207" s="116" t="s">
        <v>254</v>
      </c>
      <c r="F207" s="116" t="s">
        <v>283</v>
      </c>
      <c r="G207" s="97">
        <v>8</v>
      </c>
      <c r="H207" s="97">
        <v>0</v>
      </c>
      <c r="I207" s="120">
        <v>8</v>
      </c>
      <c r="J207" s="97">
        <v>8</v>
      </c>
      <c r="K207" s="97">
        <v>13</v>
      </c>
      <c r="L207" s="97">
        <v>1</v>
      </c>
      <c r="M207" s="97">
        <v>1</v>
      </c>
      <c r="AE207" s="98"/>
    </row>
    <row r="208" spans="1:31" x14ac:dyDescent="0.25">
      <c r="A208" s="97">
        <v>5</v>
      </c>
      <c r="B208" s="97" t="s">
        <v>335</v>
      </c>
      <c r="C208" s="101">
        <v>2022</v>
      </c>
      <c r="D208" s="119">
        <v>44699</v>
      </c>
      <c r="E208" s="116" t="s">
        <v>254</v>
      </c>
      <c r="F208" s="116" t="s">
        <v>288</v>
      </c>
      <c r="G208" s="97">
        <v>1</v>
      </c>
      <c r="H208" s="97">
        <v>2</v>
      </c>
      <c r="I208" s="120">
        <v>-1</v>
      </c>
      <c r="J208" s="97">
        <f>MATCHHISTORIK[[#This Row],[HL M]]+MATCHHISTORIK[[#This Row],[BL M]]</f>
        <v>3</v>
      </c>
      <c r="L208" s="97">
        <v>1</v>
      </c>
      <c r="O208" s="97">
        <v>1</v>
      </c>
      <c r="AE208" s="98"/>
    </row>
    <row r="209" spans="1:31" x14ac:dyDescent="0.25">
      <c r="A209" s="97">
        <v>7</v>
      </c>
      <c r="B209" s="97">
        <v>2</v>
      </c>
      <c r="C209" s="101">
        <v>2022</v>
      </c>
      <c r="D209" s="119">
        <v>44701</v>
      </c>
      <c r="E209" s="116" t="s">
        <v>274</v>
      </c>
      <c r="F209" s="116" t="s">
        <v>254</v>
      </c>
      <c r="G209" s="97">
        <v>2</v>
      </c>
      <c r="H209" s="97">
        <v>3</v>
      </c>
      <c r="I209" s="120">
        <v>1</v>
      </c>
      <c r="J209" s="97">
        <v>5</v>
      </c>
      <c r="K209" s="97">
        <v>1</v>
      </c>
      <c r="L209" s="97">
        <v>1</v>
      </c>
      <c r="M209" s="97">
        <v>1</v>
      </c>
      <c r="AE209" s="98"/>
    </row>
    <row r="210" spans="1:31" x14ac:dyDescent="0.25">
      <c r="A210" s="97">
        <v>8</v>
      </c>
      <c r="B210" s="97">
        <v>2</v>
      </c>
      <c r="C210" s="101">
        <v>2022</v>
      </c>
      <c r="D210" s="119">
        <v>44709</v>
      </c>
      <c r="E210" s="116" t="s">
        <v>254</v>
      </c>
      <c r="F210" s="116" t="s">
        <v>302</v>
      </c>
      <c r="G210" s="97">
        <v>6</v>
      </c>
      <c r="H210" s="97">
        <v>3</v>
      </c>
      <c r="I210" s="120">
        <v>3</v>
      </c>
      <c r="J210" s="97">
        <v>9</v>
      </c>
      <c r="K210" s="97">
        <v>2</v>
      </c>
      <c r="L210" s="97">
        <v>1</v>
      </c>
      <c r="M210" s="97">
        <v>1</v>
      </c>
      <c r="AE210" s="98"/>
    </row>
    <row r="211" spans="1:31" x14ac:dyDescent="0.25">
      <c r="A211" s="97">
        <v>9</v>
      </c>
      <c r="B211" s="97">
        <v>2</v>
      </c>
      <c r="C211" s="101">
        <v>2022</v>
      </c>
      <c r="D211" s="119">
        <v>44716</v>
      </c>
      <c r="E211" s="116" t="s">
        <v>276</v>
      </c>
      <c r="F211" s="116" t="s">
        <v>254</v>
      </c>
      <c r="G211" s="97">
        <v>1</v>
      </c>
      <c r="H211" s="97">
        <v>4</v>
      </c>
      <c r="I211" s="120">
        <v>3</v>
      </c>
      <c r="J211" s="97">
        <v>5</v>
      </c>
      <c r="K211" s="97">
        <v>3</v>
      </c>
      <c r="L211" s="97">
        <v>1</v>
      </c>
      <c r="M211" s="97">
        <v>1</v>
      </c>
      <c r="AE211" s="98"/>
    </row>
    <row r="212" spans="1:31" x14ac:dyDescent="0.25">
      <c r="A212" s="97">
        <v>10</v>
      </c>
      <c r="B212" s="97">
        <v>2</v>
      </c>
      <c r="C212" s="101">
        <v>2022</v>
      </c>
      <c r="D212" s="119">
        <v>44724</v>
      </c>
      <c r="E212" s="116" t="s">
        <v>254</v>
      </c>
      <c r="F212" s="116" t="s">
        <v>290</v>
      </c>
      <c r="G212" s="97">
        <v>4</v>
      </c>
      <c r="H212" s="97">
        <v>2</v>
      </c>
      <c r="I212" s="120">
        <v>2</v>
      </c>
      <c r="J212" s="97">
        <v>6</v>
      </c>
      <c r="K212" s="97">
        <v>4</v>
      </c>
      <c r="L212" s="97">
        <v>1</v>
      </c>
      <c r="M212" s="97">
        <v>1</v>
      </c>
      <c r="AE212" s="98"/>
    </row>
    <row r="213" spans="1:31" x14ac:dyDescent="0.25">
      <c r="A213" s="97">
        <v>11</v>
      </c>
      <c r="B213" s="97">
        <v>2</v>
      </c>
      <c r="C213" s="101">
        <v>2022</v>
      </c>
      <c r="D213" s="119">
        <v>44730</v>
      </c>
      <c r="E213" s="116" t="s">
        <v>324</v>
      </c>
      <c r="F213" s="116" t="s">
        <v>254</v>
      </c>
      <c r="G213" s="97">
        <v>4</v>
      </c>
      <c r="H213" s="97">
        <v>3</v>
      </c>
      <c r="I213" s="120">
        <v>-1</v>
      </c>
      <c r="J213" s="97">
        <v>7</v>
      </c>
      <c r="L213" s="97">
        <v>1</v>
      </c>
      <c r="O213" s="97">
        <v>1</v>
      </c>
      <c r="AE213" s="98"/>
    </row>
    <row r="214" spans="1:31" x14ac:dyDescent="0.25">
      <c r="A214" s="97">
        <v>12</v>
      </c>
      <c r="B214" s="97">
        <v>2</v>
      </c>
      <c r="C214" s="101">
        <v>2022</v>
      </c>
      <c r="D214" s="119">
        <v>44738</v>
      </c>
      <c r="E214" s="116" t="s">
        <v>273</v>
      </c>
      <c r="F214" s="116" t="s">
        <v>254</v>
      </c>
      <c r="G214" s="97">
        <v>0</v>
      </c>
      <c r="H214" s="97">
        <v>9</v>
      </c>
      <c r="I214" s="120">
        <v>9</v>
      </c>
      <c r="J214" s="97">
        <v>9</v>
      </c>
      <c r="K214" s="97">
        <v>1</v>
      </c>
      <c r="L214" s="97">
        <v>1</v>
      </c>
      <c r="M214" s="97">
        <v>1</v>
      </c>
      <c r="AE214" s="98"/>
    </row>
    <row r="215" spans="1:31" x14ac:dyDescent="0.25">
      <c r="A215" s="97">
        <v>13</v>
      </c>
      <c r="B215" s="97">
        <v>2</v>
      </c>
      <c r="C215" s="101">
        <v>2022</v>
      </c>
      <c r="D215" s="119">
        <v>44743</v>
      </c>
      <c r="E215" s="116" t="s">
        <v>254</v>
      </c>
      <c r="F215" s="116" t="s">
        <v>281</v>
      </c>
      <c r="G215" s="97">
        <v>8</v>
      </c>
      <c r="H215" s="97">
        <v>0</v>
      </c>
      <c r="I215" s="120">
        <v>8</v>
      </c>
      <c r="J215" s="97">
        <v>8</v>
      </c>
      <c r="K215" s="97">
        <v>2</v>
      </c>
      <c r="L215" s="97">
        <v>1</v>
      </c>
      <c r="M215" s="97">
        <v>1</v>
      </c>
      <c r="AE215" s="98"/>
    </row>
    <row r="216" spans="1:31" x14ac:dyDescent="0.25">
      <c r="A216" s="97">
        <v>14</v>
      </c>
      <c r="B216" s="97">
        <v>2</v>
      </c>
      <c r="C216" s="101">
        <v>2022</v>
      </c>
      <c r="D216" s="119">
        <v>44786</v>
      </c>
      <c r="E216" s="116" t="s">
        <v>301</v>
      </c>
      <c r="F216" s="116" t="s">
        <v>254</v>
      </c>
      <c r="G216" s="97">
        <v>0</v>
      </c>
      <c r="H216" s="97">
        <v>4</v>
      </c>
      <c r="I216" s="120">
        <v>4</v>
      </c>
      <c r="J216" s="97">
        <v>4</v>
      </c>
      <c r="K216" s="97">
        <v>3</v>
      </c>
      <c r="L216" s="97">
        <v>1</v>
      </c>
      <c r="M216" s="97">
        <v>1</v>
      </c>
      <c r="AE216" s="98"/>
    </row>
    <row r="217" spans="1:31" x14ac:dyDescent="0.25">
      <c r="A217" s="97">
        <v>15</v>
      </c>
      <c r="B217" s="97">
        <v>2</v>
      </c>
      <c r="C217" s="101">
        <v>2022</v>
      </c>
      <c r="D217" s="119">
        <v>44793</v>
      </c>
      <c r="E217" s="116" t="s">
        <v>319</v>
      </c>
      <c r="F217" s="116" t="s">
        <v>254</v>
      </c>
      <c r="G217" s="97">
        <v>1</v>
      </c>
      <c r="H217" s="97">
        <v>2</v>
      </c>
      <c r="I217" s="120">
        <v>1</v>
      </c>
      <c r="J217" s="97">
        <v>3</v>
      </c>
      <c r="K217" s="97">
        <v>4</v>
      </c>
      <c r="L217" s="97">
        <v>1</v>
      </c>
      <c r="M217" s="97">
        <v>1</v>
      </c>
      <c r="AE217" s="98"/>
    </row>
    <row r="218" spans="1:31" x14ac:dyDescent="0.25">
      <c r="A218" s="97">
        <v>16</v>
      </c>
      <c r="B218" s="97">
        <v>2</v>
      </c>
      <c r="C218" s="101">
        <v>2022</v>
      </c>
      <c r="D218" s="119">
        <v>44799</v>
      </c>
      <c r="E218" s="116" t="s">
        <v>254</v>
      </c>
      <c r="F218" s="116" t="s">
        <v>256</v>
      </c>
      <c r="G218" s="97">
        <v>4</v>
      </c>
      <c r="H218" s="97">
        <v>3</v>
      </c>
      <c r="I218" s="120">
        <v>1</v>
      </c>
      <c r="J218" s="97">
        <v>7</v>
      </c>
      <c r="K218" s="97">
        <v>5</v>
      </c>
      <c r="L218" s="97">
        <v>1</v>
      </c>
      <c r="M218" s="97">
        <v>1</v>
      </c>
      <c r="AE218" s="98"/>
    </row>
    <row r="219" spans="1:31" x14ac:dyDescent="0.25">
      <c r="A219" s="97">
        <v>17</v>
      </c>
      <c r="B219" s="97">
        <v>2</v>
      </c>
      <c r="C219" s="101">
        <v>2022</v>
      </c>
      <c r="D219" s="119">
        <v>44808</v>
      </c>
      <c r="E219" s="116" t="s">
        <v>283</v>
      </c>
      <c r="F219" s="116" t="s">
        <v>254</v>
      </c>
      <c r="G219" s="97">
        <v>0</v>
      </c>
      <c r="H219" s="97">
        <v>2</v>
      </c>
      <c r="I219" s="120">
        <v>2</v>
      </c>
      <c r="J219" s="97">
        <v>2</v>
      </c>
      <c r="K219" s="97">
        <v>6</v>
      </c>
      <c r="L219" s="97">
        <v>1</v>
      </c>
      <c r="M219" s="97">
        <v>1</v>
      </c>
      <c r="AE219" s="98"/>
    </row>
    <row r="220" spans="1:31" x14ac:dyDescent="0.25">
      <c r="A220" s="97">
        <v>18</v>
      </c>
      <c r="B220" s="97">
        <v>2</v>
      </c>
      <c r="C220" s="101">
        <v>2022</v>
      </c>
      <c r="D220" s="119">
        <v>44815</v>
      </c>
      <c r="E220" s="116" t="s">
        <v>254</v>
      </c>
      <c r="F220" s="116" t="s">
        <v>274</v>
      </c>
      <c r="G220" s="97">
        <v>7</v>
      </c>
      <c r="H220" s="97">
        <v>0</v>
      </c>
      <c r="I220" s="120">
        <v>7</v>
      </c>
      <c r="J220" s="97">
        <v>7</v>
      </c>
      <c r="K220" s="97">
        <v>7</v>
      </c>
      <c r="L220" s="97">
        <v>1</v>
      </c>
      <c r="M220" s="97">
        <v>1</v>
      </c>
      <c r="AE220" s="98"/>
    </row>
    <row r="221" spans="1:31" x14ac:dyDescent="0.25">
      <c r="A221" s="97">
        <v>19</v>
      </c>
      <c r="B221" s="97">
        <v>2</v>
      </c>
      <c r="C221" s="101">
        <v>2022</v>
      </c>
      <c r="D221" s="119">
        <v>44821</v>
      </c>
      <c r="E221" s="116" t="s">
        <v>302</v>
      </c>
      <c r="F221" s="116" t="s">
        <v>254</v>
      </c>
      <c r="G221" s="97">
        <v>1</v>
      </c>
      <c r="H221" s="97">
        <v>2</v>
      </c>
      <c r="I221" s="120">
        <v>1</v>
      </c>
      <c r="J221" s="97">
        <v>3</v>
      </c>
      <c r="K221" s="97">
        <v>8</v>
      </c>
      <c r="L221" s="97">
        <v>1</v>
      </c>
      <c r="M221" s="97">
        <v>1</v>
      </c>
      <c r="AE221" s="98"/>
    </row>
    <row r="222" spans="1:31" x14ac:dyDescent="0.25">
      <c r="A222" s="97">
        <v>20</v>
      </c>
      <c r="B222" s="97">
        <v>2</v>
      </c>
      <c r="C222" s="101">
        <v>2022</v>
      </c>
      <c r="D222" s="119">
        <v>44828</v>
      </c>
      <c r="E222" s="116" t="s">
        <v>254</v>
      </c>
      <c r="F222" s="116" t="s">
        <v>276</v>
      </c>
      <c r="G222" s="97">
        <v>10</v>
      </c>
      <c r="H222" s="97">
        <v>0</v>
      </c>
      <c r="I222" s="120">
        <v>10</v>
      </c>
      <c r="J222" s="97">
        <v>10</v>
      </c>
      <c r="K222" s="97">
        <v>9</v>
      </c>
      <c r="L222" s="97">
        <v>1</v>
      </c>
      <c r="M222" s="97">
        <v>1</v>
      </c>
      <c r="AE222" s="98"/>
    </row>
    <row r="223" spans="1:31" x14ac:dyDescent="0.25">
      <c r="A223" s="97">
        <v>21</v>
      </c>
      <c r="B223" s="97">
        <v>2</v>
      </c>
      <c r="C223" s="101">
        <v>2022</v>
      </c>
      <c r="D223" s="119">
        <v>44835</v>
      </c>
      <c r="E223" s="116" t="s">
        <v>290</v>
      </c>
      <c r="F223" s="116" t="s">
        <v>254</v>
      </c>
      <c r="G223" s="97">
        <v>2</v>
      </c>
      <c r="H223" s="97">
        <v>8</v>
      </c>
      <c r="I223" s="120">
        <v>6</v>
      </c>
      <c r="J223" s="97">
        <v>10</v>
      </c>
      <c r="K223" s="97">
        <v>10</v>
      </c>
      <c r="L223" s="97">
        <v>1</v>
      </c>
      <c r="M223" s="97">
        <v>1</v>
      </c>
      <c r="AE223" s="98"/>
    </row>
    <row r="224" spans="1:31" x14ac:dyDescent="0.25">
      <c r="A224" s="97">
        <v>22</v>
      </c>
      <c r="B224" s="97">
        <v>2</v>
      </c>
      <c r="C224" s="101">
        <v>2022</v>
      </c>
      <c r="D224" s="119">
        <v>44843</v>
      </c>
      <c r="E224" s="116" t="s">
        <v>254</v>
      </c>
      <c r="F224" s="116" t="s">
        <v>324</v>
      </c>
      <c r="G224" s="97">
        <v>3</v>
      </c>
      <c r="H224" s="97">
        <v>2</v>
      </c>
      <c r="I224" s="120">
        <v>1</v>
      </c>
      <c r="J224" s="97">
        <v>5</v>
      </c>
      <c r="K224" s="97">
        <v>11</v>
      </c>
      <c r="L224" s="97">
        <v>1</v>
      </c>
      <c r="M224" s="97">
        <v>1</v>
      </c>
      <c r="AE224" s="98"/>
    </row>
    <row r="225" spans="1:31" x14ac:dyDescent="0.25">
      <c r="A225" s="103" t="s">
        <v>338</v>
      </c>
      <c r="B225" s="97">
        <v>2</v>
      </c>
      <c r="C225" s="101">
        <v>2022</v>
      </c>
      <c r="D225" s="125">
        <v>44849</v>
      </c>
      <c r="E225" s="116" t="s">
        <v>254</v>
      </c>
      <c r="F225" s="116" t="s">
        <v>332</v>
      </c>
      <c r="G225" s="126" t="s">
        <v>339</v>
      </c>
      <c r="H225" s="126" t="s">
        <v>340</v>
      </c>
      <c r="I225" s="120">
        <v>-6</v>
      </c>
      <c r="J225" s="97">
        <f>MATCHHISTORIK[[#This Row],[HL M]]+MATCHHISTORIK[[#This Row],[BL M]]</f>
        <v>6</v>
      </c>
      <c r="L225" s="97"/>
      <c r="O225" s="97">
        <v>1</v>
      </c>
      <c r="AE225" s="98"/>
    </row>
    <row r="226" spans="1:31" x14ac:dyDescent="0.25">
      <c r="A226" s="103" t="s">
        <v>338</v>
      </c>
      <c r="B226" s="97">
        <v>2</v>
      </c>
      <c r="C226" s="101">
        <v>2022</v>
      </c>
      <c r="D226" s="125">
        <v>44856</v>
      </c>
      <c r="E226" s="116" t="s">
        <v>332</v>
      </c>
      <c r="F226" s="116" t="s">
        <v>254</v>
      </c>
      <c r="G226" s="126" t="s">
        <v>341</v>
      </c>
      <c r="H226" s="126" t="s">
        <v>339</v>
      </c>
      <c r="I226" s="120">
        <v>-4</v>
      </c>
      <c r="J226" s="97">
        <f>MATCHHISTORIK[[#This Row],[HL M]]+MATCHHISTORIK[[#This Row],[BL M]]</f>
        <v>4</v>
      </c>
      <c r="L226" s="97"/>
      <c r="O226" s="97">
        <v>1</v>
      </c>
      <c r="AE226" s="98"/>
    </row>
    <row r="227" spans="1:31" x14ac:dyDescent="0.25">
      <c r="A227" s="103">
        <v>2</v>
      </c>
      <c r="B227" s="97">
        <v>2</v>
      </c>
      <c r="C227" s="101">
        <v>2023</v>
      </c>
      <c r="D227" s="125">
        <v>45031</v>
      </c>
      <c r="E227" s="116" t="s">
        <v>323</v>
      </c>
      <c r="F227" s="116" t="s">
        <v>254</v>
      </c>
      <c r="G227" s="126" t="s">
        <v>341</v>
      </c>
      <c r="H227" s="126" t="s">
        <v>342</v>
      </c>
      <c r="I227" s="120">
        <v>-2</v>
      </c>
      <c r="J227" s="97">
        <f>MATCHHISTORIK[[#This Row],[HL M]]+MATCHHISTORIK[[#This Row],[BL M]]</f>
        <v>6</v>
      </c>
      <c r="L227" s="97">
        <v>1</v>
      </c>
      <c r="O227" s="97">
        <v>1</v>
      </c>
      <c r="AE227" s="98"/>
    </row>
    <row r="228" spans="1:31" x14ac:dyDescent="0.25">
      <c r="A228" s="103">
        <v>3</v>
      </c>
      <c r="B228" s="97">
        <v>2</v>
      </c>
      <c r="C228" s="101">
        <v>2023</v>
      </c>
      <c r="D228" s="125">
        <v>45038</v>
      </c>
      <c r="E228" s="116" t="s">
        <v>331</v>
      </c>
      <c r="F228" s="116" t="s">
        <v>254</v>
      </c>
      <c r="G228" s="126" t="s">
        <v>341</v>
      </c>
      <c r="H228" s="126" t="s">
        <v>339</v>
      </c>
      <c r="I228" s="120">
        <v>-4</v>
      </c>
      <c r="J228" s="97">
        <f>MATCHHISTORIK[[#This Row],[HL M]]+MATCHHISTORIK[[#This Row],[BL M]]</f>
        <v>4</v>
      </c>
      <c r="L228" s="97"/>
      <c r="O228" s="97">
        <v>1</v>
      </c>
      <c r="AE228" s="98"/>
    </row>
    <row r="229" spans="1:31" x14ac:dyDescent="0.25">
      <c r="A229" s="103">
        <v>4</v>
      </c>
      <c r="B229" s="97">
        <v>2</v>
      </c>
      <c r="C229" s="101">
        <v>2023</v>
      </c>
      <c r="D229" s="125">
        <v>45045</v>
      </c>
      <c r="E229" s="116" t="s">
        <v>254</v>
      </c>
      <c r="F229" s="116" t="s">
        <v>311</v>
      </c>
      <c r="G229" s="126" t="s">
        <v>343</v>
      </c>
      <c r="H229" s="126" t="s">
        <v>342</v>
      </c>
      <c r="I229" s="120">
        <v>-1</v>
      </c>
      <c r="J229" s="97">
        <f>MATCHHISTORIK[[#This Row],[HL M]]+MATCHHISTORIK[[#This Row],[BL M]]</f>
        <v>3</v>
      </c>
      <c r="L229" s="97">
        <v>1</v>
      </c>
      <c r="O229" s="97">
        <v>1</v>
      </c>
      <c r="AE229" s="98"/>
    </row>
    <row r="230" spans="1:31" x14ac:dyDescent="0.25">
      <c r="A230" s="103">
        <v>5</v>
      </c>
      <c r="B230" s="97">
        <v>2</v>
      </c>
      <c r="C230" s="101">
        <v>2023</v>
      </c>
      <c r="D230" s="125">
        <v>45052</v>
      </c>
      <c r="E230" s="116" t="s">
        <v>325</v>
      </c>
      <c r="F230" s="116" t="s">
        <v>254</v>
      </c>
      <c r="G230" s="126" t="s">
        <v>344</v>
      </c>
      <c r="H230" s="126" t="s">
        <v>342</v>
      </c>
      <c r="I230" s="120">
        <v>-1</v>
      </c>
      <c r="J230" s="97">
        <f>MATCHHISTORIK[[#This Row],[HL M]]+MATCHHISTORIK[[#This Row],[BL M]]</f>
        <v>5</v>
      </c>
      <c r="L230" s="97">
        <v>1</v>
      </c>
      <c r="O230" s="97">
        <v>1</v>
      </c>
      <c r="AE230" s="98"/>
    </row>
    <row r="231" spans="1:31" x14ac:dyDescent="0.25">
      <c r="A231" s="103">
        <v>6</v>
      </c>
      <c r="B231" s="97">
        <v>2</v>
      </c>
      <c r="C231" s="101">
        <v>2023</v>
      </c>
      <c r="D231" s="125">
        <v>45057</v>
      </c>
      <c r="E231" s="116" t="s">
        <v>254</v>
      </c>
      <c r="F231" s="116" t="s">
        <v>263</v>
      </c>
      <c r="G231" s="126" t="s">
        <v>343</v>
      </c>
      <c r="H231" s="126" t="s">
        <v>344</v>
      </c>
      <c r="I231" s="120">
        <v>-2</v>
      </c>
      <c r="J231" s="97">
        <f>MATCHHISTORIK[[#This Row],[HL M]]+MATCHHISTORIK[[#This Row],[BL M]]</f>
        <v>4</v>
      </c>
      <c r="L231" s="97">
        <v>1</v>
      </c>
      <c r="O231" s="97">
        <v>1</v>
      </c>
      <c r="AE231" s="98"/>
    </row>
    <row r="232" spans="1:31" x14ac:dyDescent="0.25">
      <c r="A232" s="103">
        <v>7</v>
      </c>
      <c r="B232" s="97">
        <v>2</v>
      </c>
      <c r="C232" s="101">
        <v>2023</v>
      </c>
      <c r="D232" s="125">
        <v>45064</v>
      </c>
      <c r="E232" s="116" t="s">
        <v>329</v>
      </c>
      <c r="F232" s="116" t="s">
        <v>254</v>
      </c>
      <c r="G232" s="126" t="s">
        <v>342</v>
      </c>
      <c r="H232" s="126" t="s">
        <v>339</v>
      </c>
      <c r="I232" s="120">
        <v>-2</v>
      </c>
      <c r="J232" s="97">
        <f>MATCHHISTORIK[[#This Row],[HL M]]+MATCHHISTORIK[[#This Row],[BL M]]</f>
        <v>2</v>
      </c>
      <c r="L232" s="97"/>
      <c r="O232" s="97">
        <v>1</v>
      </c>
      <c r="AE232" s="98"/>
    </row>
    <row r="233" spans="1:31" x14ac:dyDescent="0.25">
      <c r="A233" s="103">
        <v>8</v>
      </c>
      <c r="B233" s="97">
        <v>2</v>
      </c>
      <c r="C233" s="101">
        <v>2023</v>
      </c>
      <c r="D233" s="125">
        <v>45074</v>
      </c>
      <c r="E233" s="116" t="s">
        <v>254</v>
      </c>
      <c r="F233" s="116" t="s">
        <v>298</v>
      </c>
      <c r="G233" s="126" t="s">
        <v>342</v>
      </c>
      <c r="H233" s="126" t="s">
        <v>339</v>
      </c>
      <c r="I233" s="120">
        <v>2</v>
      </c>
      <c r="J233" s="97">
        <f>MATCHHISTORIK[[#This Row],[HL M]]+MATCHHISTORIK[[#This Row],[BL M]]</f>
        <v>2</v>
      </c>
      <c r="K233" s="97">
        <v>1</v>
      </c>
      <c r="L233" s="97">
        <v>1</v>
      </c>
      <c r="M233" s="97">
        <v>1</v>
      </c>
      <c r="AE233" s="98"/>
    </row>
    <row r="234" spans="1:31" x14ac:dyDescent="0.25">
      <c r="A234" s="103">
        <v>9</v>
      </c>
      <c r="B234" s="97">
        <v>2</v>
      </c>
      <c r="C234" s="101">
        <v>2023</v>
      </c>
      <c r="D234" s="125">
        <v>45078</v>
      </c>
      <c r="E234" s="116" t="s">
        <v>292</v>
      </c>
      <c r="F234" s="116" t="s">
        <v>254</v>
      </c>
      <c r="G234" s="126" t="s">
        <v>341</v>
      </c>
      <c r="H234" s="126" t="s">
        <v>343</v>
      </c>
      <c r="I234" s="120">
        <v>-3</v>
      </c>
      <c r="J234" s="97">
        <f>MATCHHISTORIK[[#This Row],[HL M]]+MATCHHISTORIK[[#This Row],[BL M]]</f>
        <v>5</v>
      </c>
      <c r="L234" s="97">
        <v>1</v>
      </c>
      <c r="O234" s="97">
        <v>1</v>
      </c>
      <c r="AE234" s="98"/>
    </row>
    <row r="235" spans="1:31" x14ac:dyDescent="0.25">
      <c r="A235" s="97">
        <v>1</v>
      </c>
      <c r="B235" s="97">
        <v>2</v>
      </c>
      <c r="C235" s="101">
        <v>2023</v>
      </c>
      <c r="D235" s="119">
        <v>45083</v>
      </c>
      <c r="E235" s="116" t="s">
        <v>254</v>
      </c>
      <c r="F235" s="116" t="s">
        <v>280</v>
      </c>
      <c r="G235" s="97">
        <v>8</v>
      </c>
      <c r="H235" s="97">
        <v>0</v>
      </c>
      <c r="I235" s="120">
        <v>8</v>
      </c>
      <c r="J235" s="97">
        <f>MATCHHISTORIK[[#This Row],[HL M]]+MATCHHISTORIK[[#This Row],[BL M]]</f>
        <v>8</v>
      </c>
      <c r="K235" s="97">
        <v>1</v>
      </c>
      <c r="L235" s="97">
        <v>1</v>
      </c>
      <c r="M235" s="97">
        <v>1</v>
      </c>
      <c r="AE235" s="98"/>
    </row>
    <row r="236" spans="1:31" x14ac:dyDescent="0.25">
      <c r="A236" s="97">
        <v>10</v>
      </c>
      <c r="B236" s="97">
        <v>2</v>
      </c>
      <c r="C236" s="101">
        <v>2023</v>
      </c>
      <c r="D236" s="119">
        <v>45088</v>
      </c>
      <c r="E236" s="116" t="s">
        <v>254</v>
      </c>
      <c r="F236" s="116" t="s">
        <v>284</v>
      </c>
      <c r="G236" s="97">
        <v>3</v>
      </c>
      <c r="H236" s="97">
        <v>1</v>
      </c>
      <c r="I236" s="120">
        <v>2</v>
      </c>
      <c r="J236" s="97">
        <f>MATCHHISTORIK[[#This Row],[HL M]]+MATCHHISTORIK[[#This Row],[BL M]]</f>
        <v>4</v>
      </c>
      <c r="K236" s="97">
        <v>2</v>
      </c>
      <c r="L236" s="97">
        <v>1</v>
      </c>
      <c r="M236" s="97">
        <v>1</v>
      </c>
      <c r="AE236" s="98"/>
    </row>
    <row r="237" spans="1:31" x14ac:dyDescent="0.25">
      <c r="A237" s="97">
        <v>11</v>
      </c>
      <c r="B237" s="97">
        <v>2</v>
      </c>
      <c r="C237" s="101">
        <v>2023</v>
      </c>
      <c r="D237" s="119">
        <v>45096</v>
      </c>
      <c r="E237" s="116" t="s">
        <v>300</v>
      </c>
      <c r="F237" s="116" t="s">
        <v>254</v>
      </c>
      <c r="G237" s="97">
        <v>1</v>
      </c>
      <c r="H237" s="97">
        <v>7</v>
      </c>
      <c r="I237" s="120">
        <v>6</v>
      </c>
      <c r="J237" s="97">
        <f>MATCHHISTORIK[[#This Row],[HL M]]+MATCHHISTORIK[[#This Row],[BL M]]</f>
        <v>8</v>
      </c>
      <c r="K237" s="97">
        <v>3</v>
      </c>
      <c r="L237" s="97">
        <v>1</v>
      </c>
      <c r="M237" s="97">
        <v>1</v>
      </c>
      <c r="AE237" s="98"/>
    </row>
    <row r="238" spans="1:31" x14ac:dyDescent="0.25">
      <c r="A238" s="97">
        <v>12</v>
      </c>
      <c r="B238" s="97">
        <v>2</v>
      </c>
      <c r="C238" s="101">
        <v>2023</v>
      </c>
      <c r="D238" s="119">
        <v>45102</v>
      </c>
      <c r="E238" s="116" t="s">
        <v>280</v>
      </c>
      <c r="F238" s="116" t="s">
        <v>254</v>
      </c>
      <c r="G238" s="97">
        <v>0</v>
      </c>
      <c r="H238" s="97">
        <v>3</v>
      </c>
      <c r="I238" s="120">
        <v>3</v>
      </c>
      <c r="J238" s="97">
        <f>MATCHHISTORIK[[#This Row],[HL M]]+MATCHHISTORIK[[#This Row],[BL M]]</f>
        <v>3</v>
      </c>
      <c r="K238" s="97">
        <v>4</v>
      </c>
      <c r="L238" s="97">
        <v>1</v>
      </c>
      <c r="M238" s="97">
        <v>1</v>
      </c>
      <c r="AE238" s="98"/>
    </row>
    <row r="239" spans="1:31" x14ac:dyDescent="0.25">
      <c r="A239" s="97">
        <v>13</v>
      </c>
      <c r="B239" s="97">
        <v>2</v>
      </c>
      <c r="C239" s="101">
        <v>2023</v>
      </c>
      <c r="D239" s="119">
        <v>45151</v>
      </c>
      <c r="E239" s="116" t="s">
        <v>254</v>
      </c>
      <c r="F239" s="116" t="s">
        <v>323</v>
      </c>
      <c r="G239" s="97">
        <v>1</v>
      </c>
      <c r="H239" s="97">
        <v>3</v>
      </c>
      <c r="I239" s="120">
        <v>-2</v>
      </c>
      <c r="J239" s="97">
        <f>MATCHHISTORIK[[#This Row],[HL M]]+MATCHHISTORIK[[#This Row],[BL M]]</f>
        <v>4</v>
      </c>
      <c r="L239" s="97">
        <v>1</v>
      </c>
      <c r="O239" s="97">
        <v>1</v>
      </c>
      <c r="AE239" s="98"/>
    </row>
    <row r="240" spans="1:31" x14ac:dyDescent="0.25">
      <c r="A240" s="97">
        <v>14</v>
      </c>
      <c r="B240" s="97">
        <v>2</v>
      </c>
      <c r="C240" s="101">
        <v>2023</v>
      </c>
      <c r="D240" s="119">
        <v>45157</v>
      </c>
      <c r="E240" s="116" t="s">
        <v>254</v>
      </c>
      <c r="F240" s="116" t="s">
        <v>331</v>
      </c>
      <c r="G240" s="97">
        <v>1</v>
      </c>
      <c r="H240" s="97">
        <v>0</v>
      </c>
      <c r="I240" s="120">
        <v>1</v>
      </c>
      <c r="J240" s="97">
        <f>MATCHHISTORIK[[#This Row],[HL M]]+MATCHHISTORIK[[#This Row],[BL M]]</f>
        <v>1</v>
      </c>
      <c r="K240" s="97">
        <v>1</v>
      </c>
      <c r="L240" s="97">
        <v>1</v>
      </c>
      <c r="M240" s="97">
        <v>1</v>
      </c>
      <c r="AE240" s="98"/>
    </row>
    <row r="241" spans="1:31" x14ac:dyDescent="0.25">
      <c r="A241" s="97">
        <v>15</v>
      </c>
      <c r="B241" s="97">
        <v>2</v>
      </c>
      <c r="C241" s="101">
        <v>2023</v>
      </c>
      <c r="D241" s="119">
        <v>45165</v>
      </c>
      <c r="E241" s="116" t="s">
        <v>311</v>
      </c>
      <c r="F241" s="116" t="s">
        <v>254</v>
      </c>
      <c r="G241" s="97">
        <v>0</v>
      </c>
      <c r="H241" s="97">
        <v>2</v>
      </c>
      <c r="I241" s="120">
        <v>2</v>
      </c>
      <c r="J241" s="97">
        <f>MATCHHISTORIK[[#This Row],[HL M]]+MATCHHISTORIK[[#This Row],[BL M]]</f>
        <v>2</v>
      </c>
      <c r="K241" s="97">
        <v>2</v>
      </c>
      <c r="L241" s="97">
        <v>1</v>
      </c>
      <c r="M241" s="97">
        <v>1</v>
      </c>
      <c r="AE241" s="98"/>
    </row>
    <row r="242" spans="1:31" x14ac:dyDescent="0.25">
      <c r="A242" s="97">
        <v>16</v>
      </c>
      <c r="B242" s="97">
        <v>2</v>
      </c>
      <c r="C242" s="101">
        <v>2023</v>
      </c>
      <c r="D242" s="119">
        <v>45171</v>
      </c>
      <c r="E242" s="116" t="s">
        <v>254</v>
      </c>
      <c r="F242" s="116" t="s">
        <v>325</v>
      </c>
      <c r="G242" s="97">
        <v>1</v>
      </c>
      <c r="H242" s="97">
        <v>1</v>
      </c>
      <c r="I242" s="120">
        <v>0</v>
      </c>
      <c r="J242" s="97">
        <f>MATCHHISTORIK[[#This Row],[HL M]]+MATCHHISTORIK[[#This Row],[BL M]]</f>
        <v>2</v>
      </c>
      <c r="K242" s="97">
        <v>3</v>
      </c>
      <c r="L242" s="97">
        <v>1</v>
      </c>
      <c r="N242" s="97">
        <v>1</v>
      </c>
      <c r="AE242" s="98"/>
    </row>
    <row r="243" spans="1:31" x14ac:dyDescent="0.25">
      <c r="A243" s="97">
        <v>17</v>
      </c>
      <c r="B243" s="97">
        <v>2</v>
      </c>
      <c r="C243" s="101">
        <v>2023</v>
      </c>
      <c r="D243" s="119">
        <v>45178</v>
      </c>
      <c r="E243" s="116" t="s">
        <v>263</v>
      </c>
      <c r="F243" s="116" t="s">
        <v>254</v>
      </c>
      <c r="G243" s="97">
        <v>2</v>
      </c>
      <c r="H243" s="97">
        <v>1</v>
      </c>
      <c r="I243" s="120">
        <v>-1</v>
      </c>
      <c r="J243" s="97">
        <f>MATCHHISTORIK[[#This Row],[HL M]]+MATCHHISTORIK[[#This Row],[BL M]]</f>
        <v>3</v>
      </c>
      <c r="L243" s="97">
        <v>1</v>
      </c>
      <c r="O243" s="97">
        <v>1</v>
      </c>
      <c r="AE243" s="98"/>
    </row>
    <row r="244" spans="1:31" x14ac:dyDescent="0.25">
      <c r="A244" s="97">
        <v>18</v>
      </c>
      <c r="B244" s="97">
        <v>2</v>
      </c>
      <c r="C244" s="101">
        <v>2023</v>
      </c>
      <c r="D244" s="119">
        <v>45185</v>
      </c>
      <c r="E244" s="116" t="s">
        <v>254</v>
      </c>
      <c r="F244" s="116" t="s">
        <v>329</v>
      </c>
      <c r="G244" s="97">
        <v>2</v>
      </c>
      <c r="H244" s="97">
        <v>2</v>
      </c>
      <c r="I244" s="120">
        <v>0</v>
      </c>
      <c r="J244" s="97">
        <f>MATCHHISTORIK[[#This Row],[HL M]]+MATCHHISTORIK[[#This Row],[BL M]]</f>
        <v>4</v>
      </c>
      <c r="K244" s="97">
        <v>1</v>
      </c>
      <c r="L244" s="97">
        <v>1</v>
      </c>
      <c r="N244" s="97">
        <v>1</v>
      </c>
      <c r="AE244" s="98"/>
    </row>
    <row r="245" spans="1:31" x14ac:dyDescent="0.25">
      <c r="A245" s="97">
        <v>19</v>
      </c>
      <c r="B245" s="97">
        <v>2</v>
      </c>
      <c r="C245" s="101">
        <v>2023</v>
      </c>
      <c r="D245" s="119">
        <v>45192</v>
      </c>
      <c r="E245" s="116" t="s">
        <v>298</v>
      </c>
      <c r="F245" s="116" t="s">
        <v>254</v>
      </c>
      <c r="G245" s="97">
        <v>0</v>
      </c>
      <c r="H245" s="97">
        <v>3</v>
      </c>
      <c r="I245" s="120">
        <v>3</v>
      </c>
      <c r="J245" s="97">
        <f>MATCHHISTORIK[[#This Row],[HL M]]+MATCHHISTORIK[[#This Row],[BL M]]</f>
        <v>3</v>
      </c>
      <c r="K245" s="97">
        <v>2</v>
      </c>
      <c r="L245" s="97">
        <v>1</v>
      </c>
      <c r="M245" s="97">
        <v>1</v>
      </c>
      <c r="AE245" s="98"/>
    </row>
    <row r="246" spans="1:31" x14ac:dyDescent="0.25">
      <c r="A246" s="97">
        <v>20</v>
      </c>
      <c r="B246" s="97">
        <v>2</v>
      </c>
      <c r="C246" s="101">
        <v>2023</v>
      </c>
      <c r="D246" s="119">
        <v>45199</v>
      </c>
      <c r="E246" s="116" t="s">
        <v>254</v>
      </c>
      <c r="F246" s="116" t="s">
        <v>292</v>
      </c>
      <c r="G246" s="97">
        <v>5</v>
      </c>
      <c r="H246" s="97">
        <v>4</v>
      </c>
      <c r="I246" s="120">
        <v>1</v>
      </c>
      <c r="J246" s="97">
        <f>MATCHHISTORIK[[#This Row],[HL M]]+MATCHHISTORIK[[#This Row],[BL M]]</f>
        <v>9</v>
      </c>
      <c r="K246" s="97">
        <v>3</v>
      </c>
      <c r="L246" s="97">
        <v>1</v>
      </c>
      <c r="M246" s="97">
        <v>1</v>
      </c>
      <c r="AE246" s="98"/>
    </row>
    <row r="247" spans="1:31" x14ac:dyDescent="0.25">
      <c r="A247" s="97">
        <v>21</v>
      </c>
      <c r="B247" s="97">
        <v>2</v>
      </c>
      <c r="C247" s="101">
        <v>2023</v>
      </c>
      <c r="D247" s="119">
        <v>45206</v>
      </c>
      <c r="E247" s="116" t="s">
        <v>284</v>
      </c>
      <c r="F247" s="116" t="s">
        <v>254</v>
      </c>
      <c r="G247" s="97">
        <v>0</v>
      </c>
      <c r="H247" s="97">
        <v>0</v>
      </c>
      <c r="I247" s="120">
        <v>0</v>
      </c>
      <c r="J247" s="97">
        <f>MATCHHISTORIK[[#This Row],[HL M]]+MATCHHISTORIK[[#This Row],[BL M]]</f>
        <v>0</v>
      </c>
      <c r="K247" s="97">
        <v>4</v>
      </c>
      <c r="L247" s="97"/>
      <c r="N247" s="97">
        <v>1</v>
      </c>
      <c r="AE247" s="98"/>
    </row>
    <row r="248" spans="1:31" x14ac:dyDescent="0.25">
      <c r="A248" s="97">
        <v>22</v>
      </c>
      <c r="B248" s="97">
        <v>2</v>
      </c>
      <c r="C248" s="101">
        <v>2023</v>
      </c>
      <c r="D248" s="119">
        <v>45213</v>
      </c>
      <c r="E248" s="116" t="s">
        <v>254</v>
      </c>
      <c r="F248" s="116" t="s">
        <v>300</v>
      </c>
      <c r="G248" s="97">
        <v>5</v>
      </c>
      <c r="H248" s="97">
        <v>3</v>
      </c>
      <c r="I248" s="120">
        <v>2</v>
      </c>
      <c r="J248" s="97">
        <f>MATCHHISTORIK[[#This Row],[HL M]]+MATCHHISTORIK[[#This Row],[BL M]]</f>
        <v>8</v>
      </c>
      <c r="K248" s="97">
        <v>5</v>
      </c>
      <c r="L248" s="97">
        <v>1</v>
      </c>
      <c r="M248" s="97">
        <v>1</v>
      </c>
      <c r="AE248" s="98"/>
    </row>
    <row r="249" spans="1:31" x14ac:dyDescent="0.25">
      <c r="A249" s="97">
        <v>1</v>
      </c>
      <c r="B249" s="97" t="s">
        <v>335</v>
      </c>
      <c r="C249" s="101">
        <v>2024</v>
      </c>
      <c r="D249" s="119">
        <v>45354</v>
      </c>
      <c r="E249" s="116" t="s">
        <v>254</v>
      </c>
      <c r="F249" s="116" t="s">
        <v>285</v>
      </c>
      <c r="G249" s="97">
        <v>9</v>
      </c>
      <c r="H249" s="97">
        <v>0</v>
      </c>
      <c r="I249" s="120">
        <v>9</v>
      </c>
      <c r="J249" s="97">
        <f>MATCHHISTORIK[[#This Row],[HL M]]+MATCHHISTORIK[[#This Row],[BL M]]</f>
        <v>9</v>
      </c>
      <c r="K249" s="97">
        <v>6</v>
      </c>
      <c r="L249" s="97">
        <v>1</v>
      </c>
      <c r="M249" s="97">
        <v>1</v>
      </c>
      <c r="AE249" s="98"/>
    </row>
    <row r="250" spans="1:31" x14ac:dyDescent="0.25">
      <c r="A250" s="97">
        <v>2</v>
      </c>
      <c r="B250" s="97" t="s">
        <v>335</v>
      </c>
      <c r="C250" s="101">
        <v>2024</v>
      </c>
      <c r="D250" s="119">
        <v>45360</v>
      </c>
      <c r="E250" s="116" t="s">
        <v>267</v>
      </c>
      <c r="F250" s="116" t="s">
        <v>254</v>
      </c>
      <c r="G250" s="97">
        <v>2</v>
      </c>
      <c r="H250" s="97">
        <v>8</v>
      </c>
      <c r="I250" s="120">
        <v>6</v>
      </c>
      <c r="J250" s="97">
        <f>MATCHHISTORIK[[#This Row],[HL M]]+MATCHHISTORIK[[#This Row],[BL M]]</f>
        <v>10</v>
      </c>
      <c r="K250" s="97">
        <v>7</v>
      </c>
      <c r="L250" s="97">
        <v>1</v>
      </c>
      <c r="M250" s="97">
        <v>1</v>
      </c>
      <c r="AE250" s="98"/>
    </row>
    <row r="251" spans="1:31" x14ac:dyDescent="0.25">
      <c r="A251" s="97">
        <v>3</v>
      </c>
      <c r="B251" s="97" t="s">
        <v>335</v>
      </c>
      <c r="C251" s="101">
        <v>2024</v>
      </c>
      <c r="D251" s="119">
        <v>45368</v>
      </c>
      <c r="E251" s="116" t="s">
        <v>254</v>
      </c>
      <c r="F251" s="116" t="s">
        <v>293</v>
      </c>
      <c r="G251" s="97">
        <v>4</v>
      </c>
      <c r="H251" s="97">
        <v>0</v>
      </c>
      <c r="I251" s="120">
        <v>4</v>
      </c>
      <c r="J251" s="97">
        <f>MATCHHISTORIK[[#This Row],[HL M]]+MATCHHISTORIK[[#This Row],[BL M]]</f>
        <v>4</v>
      </c>
      <c r="K251" s="97">
        <v>8</v>
      </c>
      <c r="L251" s="97">
        <v>1</v>
      </c>
      <c r="M251" s="97">
        <v>1</v>
      </c>
      <c r="AE251" s="98"/>
    </row>
    <row r="252" spans="1:31" x14ac:dyDescent="0.25">
      <c r="A252" s="97">
        <v>4</v>
      </c>
      <c r="B252" s="97" t="s">
        <v>335</v>
      </c>
      <c r="C252" s="101">
        <v>2024</v>
      </c>
      <c r="D252" s="119">
        <v>45385</v>
      </c>
      <c r="E252" s="116" t="s">
        <v>254</v>
      </c>
      <c r="F252" s="116" t="s">
        <v>282</v>
      </c>
      <c r="G252" s="97">
        <v>1</v>
      </c>
      <c r="H252" s="97">
        <v>0</v>
      </c>
      <c r="I252" s="120">
        <v>1</v>
      </c>
      <c r="J252" s="97">
        <f>MATCHHISTORIK[[#This Row],[HL M]]+MATCHHISTORIK[[#This Row],[BL M]]</f>
        <v>1</v>
      </c>
      <c r="K252" s="97">
        <v>9</v>
      </c>
      <c r="L252" s="97">
        <v>1</v>
      </c>
      <c r="M252" s="97">
        <v>1</v>
      </c>
      <c r="AE252" s="98"/>
    </row>
    <row r="253" spans="1:31" x14ac:dyDescent="0.25">
      <c r="A253" s="97">
        <v>1</v>
      </c>
      <c r="B253" s="97">
        <v>2</v>
      </c>
      <c r="C253" s="101">
        <v>2024</v>
      </c>
      <c r="D253" s="119">
        <v>45389</v>
      </c>
      <c r="E253" s="116" t="s">
        <v>254</v>
      </c>
      <c r="F253" s="116" t="s">
        <v>304</v>
      </c>
      <c r="G253" s="97">
        <v>4</v>
      </c>
      <c r="H253" s="97">
        <v>1</v>
      </c>
      <c r="I253" s="120">
        <v>3</v>
      </c>
      <c r="J253" s="97">
        <f>MATCHHISTORIK[[#This Row],[HL M]]+MATCHHISTORIK[[#This Row],[BL M]]</f>
        <v>5</v>
      </c>
      <c r="K253" s="97">
        <v>10</v>
      </c>
      <c r="L253" s="97">
        <v>1</v>
      </c>
      <c r="M253" s="97">
        <v>1</v>
      </c>
      <c r="AE253" s="98"/>
    </row>
    <row r="254" spans="1:31" x14ac:dyDescent="0.25">
      <c r="A254" s="97">
        <v>2</v>
      </c>
      <c r="B254" s="97">
        <v>2</v>
      </c>
      <c r="C254" s="101">
        <v>2024</v>
      </c>
      <c r="D254" s="119">
        <v>45395</v>
      </c>
      <c r="E254" s="116" t="s">
        <v>323</v>
      </c>
      <c r="F254" s="116" t="s">
        <v>254</v>
      </c>
      <c r="G254" s="97">
        <v>1</v>
      </c>
      <c r="H254" s="97">
        <v>4</v>
      </c>
      <c r="I254" s="120">
        <v>3</v>
      </c>
      <c r="J254" s="97">
        <f>MATCHHISTORIK[[#This Row],[HL M]]+MATCHHISTORIK[[#This Row],[BL M]]</f>
        <v>5</v>
      </c>
      <c r="K254" s="97">
        <v>11</v>
      </c>
      <c r="L254" s="97">
        <v>1</v>
      </c>
      <c r="M254" s="97">
        <v>1</v>
      </c>
      <c r="AE254" s="98"/>
    </row>
    <row r="255" spans="1:31" x14ac:dyDescent="0.25">
      <c r="A255" s="97">
        <v>3</v>
      </c>
      <c r="B255" s="97">
        <v>2</v>
      </c>
      <c r="C255" s="101">
        <v>2024</v>
      </c>
      <c r="D255" s="119">
        <v>45402</v>
      </c>
      <c r="E255" s="116" t="s">
        <v>254</v>
      </c>
      <c r="F255" s="116" t="s">
        <v>345</v>
      </c>
      <c r="G255" s="97">
        <v>9</v>
      </c>
      <c r="H255" s="97">
        <v>0</v>
      </c>
      <c r="I255" s="120">
        <v>9</v>
      </c>
      <c r="J255" s="97">
        <f>MATCHHISTORIK[[#This Row],[HL M]]+MATCHHISTORIK[[#This Row],[BL M]]</f>
        <v>9</v>
      </c>
      <c r="K255" s="97">
        <v>12</v>
      </c>
      <c r="L255" s="97">
        <v>1</v>
      </c>
      <c r="M255" s="97">
        <v>1</v>
      </c>
      <c r="AE255" s="98"/>
    </row>
    <row r="256" spans="1:31" x14ac:dyDescent="0.25">
      <c r="A256" s="97">
        <v>4</v>
      </c>
      <c r="B256" s="97">
        <v>2</v>
      </c>
      <c r="C256" s="101">
        <v>2024</v>
      </c>
      <c r="D256" s="119">
        <v>45407</v>
      </c>
      <c r="E256" s="116" t="s">
        <v>274</v>
      </c>
      <c r="F256" s="116" t="s">
        <v>254</v>
      </c>
      <c r="G256" s="97">
        <v>1</v>
      </c>
      <c r="H256" s="97">
        <v>3</v>
      </c>
      <c r="I256" s="120">
        <v>2</v>
      </c>
      <c r="J256" s="97">
        <f>MATCHHISTORIK[[#This Row],[HL M]]+MATCHHISTORIK[[#This Row],[BL M]]</f>
        <v>4</v>
      </c>
      <c r="K256" s="97">
        <v>13</v>
      </c>
      <c r="L256" s="97">
        <v>1</v>
      </c>
      <c r="M256" s="97">
        <v>1</v>
      </c>
      <c r="AE256" s="98"/>
    </row>
    <row r="257" spans="1:31" x14ac:dyDescent="0.25">
      <c r="A257" s="97">
        <v>5</v>
      </c>
      <c r="B257" s="97">
        <v>2</v>
      </c>
      <c r="C257" s="101">
        <v>2024</v>
      </c>
      <c r="D257" s="119">
        <v>45417</v>
      </c>
      <c r="E257" s="116" t="s">
        <v>254</v>
      </c>
      <c r="F257" s="116" t="s">
        <v>292</v>
      </c>
      <c r="G257" s="97">
        <v>8</v>
      </c>
      <c r="H257" s="97">
        <v>0</v>
      </c>
      <c r="I257" s="120">
        <v>8</v>
      </c>
      <c r="J257" s="97">
        <f>MATCHHISTORIK[[#This Row],[HL M]]+MATCHHISTORIK[[#This Row],[BL M]]</f>
        <v>8</v>
      </c>
      <c r="K257" s="97">
        <v>14</v>
      </c>
      <c r="L257" s="97">
        <v>1</v>
      </c>
      <c r="M257" s="97">
        <v>1</v>
      </c>
      <c r="AE257" s="98"/>
    </row>
    <row r="258" spans="1:31" x14ac:dyDescent="0.25">
      <c r="A258" s="97">
        <v>6</v>
      </c>
      <c r="B258" s="97">
        <v>2</v>
      </c>
      <c r="C258" s="101">
        <v>2024</v>
      </c>
      <c r="D258" s="119">
        <v>45423</v>
      </c>
      <c r="E258" s="116" t="s">
        <v>272</v>
      </c>
      <c r="F258" s="116" t="s">
        <v>254</v>
      </c>
      <c r="G258" s="97">
        <v>1</v>
      </c>
      <c r="H258" s="97">
        <v>3</v>
      </c>
      <c r="I258" s="120">
        <v>2</v>
      </c>
      <c r="J258" s="97">
        <f>MATCHHISTORIK[[#This Row],[HL M]]+MATCHHISTORIK[[#This Row],[BL M]]</f>
        <v>4</v>
      </c>
      <c r="K258" s="97">
        <v>15</v>
      </c>
      <c r="L258" s="97">
        <v>1</v>
      </c>
      <c r="M258" s="97">
        <v>1</v>
      </c>
      <c r="AE258" s="98"/>
    </row>
    <row r="259" spans="1:31" x14ac:dyDescent="0.25">
      <c r="A259" s="97">
        <v>5</v>
      </c>
      <c r="B259" s="97" t="s">
        <v>335</v>
      </c>
      <c r="C259" s="101">
        <v>2024</v>
      </c>
      <c r="D259" s="119">
        <v>45426</v>
      </c>
      <c r="E259" s="116" t="s">
        <v>346</v>
      </c>
      <c r="F259" s="116" t="s">
        <v>254</v>
      </c>
      <c r="G259" s="97">
        <v>2</v>
      </c>
      <c r="H259" s="97">
        <v>4</v>
      </c>
      <c r="I259" s="120">
        <v>2</v>
      </c>
      <c r="J259" s="97">
        <f>MATCHHISTORIK[[#This Row],[HL M]]+MATCHHISTORIK[[#This Row],[BL M]]</f>
        <v>6</v>
      </c>
      <c r="K259" s="97">
        <v>16</v>
      </c>
      <c r="L259" s="97">
        <v>1</v>
      </c>
      <c r="M259" s="97">
        <v>1</v>
      </c>
      <c r="AE259" s="98"/>
    </row>
    <row r="260" spans="1:31" x14ac:dyDescent="0.25">
      <c r="A260" s="97">
        <v>7</v>
      </c>
      <c r="B260" s="97">
        <v>2</v>
      </c>
      <c r="C260" s="101">
        <v>2024</v>
      </c>
      <c r="D260" s="119">
        <v>45430</v>
      </c>
      <c r="E260" s="116" t="s">
        <v>254</v>
      </c>
      <c r="F260" s="116" t="s">
        <v>288</v>
      </c>
      <c r="G260" s="97">
        <v>3</v>
      </c>
      <c r="H260" s="97">
        <v>0</v>
      </c>
      <c r="I260" s="120">
        <v>3</v>
      </c>
      <c r="J260" s="97">
        <f>MATCHHISTORIK[[#This Row],[HL M]]+MATCHHISTORIK[[#This Row],[BL M]]</f>
        <v>3</v>
      </c>
      <c r="K260" s="97">
        <v>17</v>
      </c>
      <c r="L260" s="97">
        <v>1</v>
      </c>
      <c r="M260" s="97">
        <v>1</v>
      </c>
      <c r="AE260" s="98"/>
    </row>
    <row r="261" spans="1:31" x14ac:dyDescent="0.25">
      <c r="A261" s="97">
        <v>8</v>
      </c>
      <c r="B261" s="97">
        <v>2</v>
      </c>
      <c r="C261" s="101">
        <v>2024</v>
      </c>
      <c r="D261" s="119">
        <v>45437</v>
      </c>
      <c r="E261" s="116" t="s">
        <v>254</v>
      </c>
      <c r="F261" s="116" t="s">
        <v>308</v>
      </c>
      <c r="G261" s="97">
        <v>4</v>
      </c>
      <c r="H261" s="97">
        <v>0</v>
      </c>
      <c r="I261" s="120">
        <v>4</v>
      </c>
      <c r="J261" s="97">
        <f>MATCHHISTORIK[[#This Row],[HL M]]+MATCHHISTORIK[[#This Row],[BL M]]</f>
        <v>4</v>
      </c>
      <c r="K261" s="97">
        <v>18</v>
      </c>
      <c r="L261" s="97">
        <v>1</v>
      </c>
      <c r="M261" s="97">
        <v>1</v>
      </c>
      <c r="AE261" s="98"/>
    </row>
    <row r="262" spans="1:31" x14ac:dyDescent="0.25">
      <c r="A262" s="97">
        <v>9</v>
      </c>
      <c r="B262" s="97">
        <v>2</v>
      </c>
      <c r="C262" s="101">
        <v>2024</v>
      </c>
      <c r="D262" s="119">
        <v>45445</v>
      </c>
      <c r="E262" s="116" t="s">
        <v>347</v>
      </c>
      <c r="F262" s="116" t="s">
        <v>254</v>
      </c>
      <c r="G262" s="97">
        <v>2</v>
      </c>
      <c r="H262" s="97">
        <v>5</v>
      </c>
      <c r="I262" s="120">
        <v>3</v>
      </c>
      <c r="J262" s="97">
        <f>MATCHHISTORIK[[#This Row],[HL M]]+MATCHHISTORIK[[#This Row],[BL M]]</f>
        <v>7</v>
      </c>
      <c r="K262" s="97">
        <v>19</v>
      </c>
      <c r="L262" s="97">
        <v>1</v>
      </c>
      <c r="M262" s="97">
        <v>1</v>
      </c>
      <c r="AE262" s="98"/>
    </row>
    <row r="263" spans="1:31" x14ac:dyDescent="0.25">
      <c r="A263" s="97">
        <v>10</v>
      </c>
      <c r="B263" s="97">
        <v>2</v>
      </c>
      <c r="C263" s="101">
        <v>2024</v>
      </c>
      <c r="D263" s="119">
        <v>45450</v>
      </c>
      <c r="E263" s="116" t="s">
        <v>254</v>
      </c>
      <c r="F263" s="116" t="s">
        <v>270</v>
      </c>
      <c r="G263" s="97">
        <v>2</v>
      </c>
      <c r="H263" s="97">
        <v>1</v>
      </c>
      <c r="I263" s="120">
        <v>1</v>
      </c>
      <c r="J263" s="97">
        <f>MATCHHISTORIK[[#This Row],[HL M]]+MATCHHISTORIK[[#This Row],[BL M]]</f>
        <v>3</v>
      </c>
      <c r="K263" s="97">
        <v>20</v>
      </c>
      <c r="L263" s="97">
        <v>1</v>
      </c>
      <c r="M263" s="97">
        <v>1</v>
      </c>
      <c r="AE263" s="98"/>
    </row>
    <row r="264" spans="1:31" x14ac:dyDescent="0.25">
      <c r="A264" s="97">
        <v>6</v>
      </c>
      <c r="B264" s="97" t="s">
        <v>335</v>
      </c>
      <c r="C264" s="101">
        <v>2024</v>
      </c>
      <c r="D264" s="119">
        <v>45455</v>
      </c>
      <c r="E264" s="116" t="s">
        <v>254</v>
      </c>
      <c r="F264" s="116" t="s">
        <v>311</v>
      </c>
      <c r="G264" s="97">
        <v>1</v>
      </c>
      <c r="H264" s="97">
        <v>0</v>
      </c>
      <c r="I264" s="120">
        <v>1</v>
      </c>
      <c r="J264" s="97">
        <f>MATCHHISTORIK[[#This Row],[HL M]]+MATCHHISTORIK[[#This Row],[BL M]]</f>
        <v>1</v>
      </c>
      <c r="K264" s="97">
        <v>21</v>
      </c>
      <c r="L264" s="97">
        <v>1</v>
      </c>
      <c r="M264" s="97">
        <v>1</v>
      </c>
      <c r="AE264" s="98"/>
    </row>
    <row r="265" spans="1:31" x14ac:dyDescent="0.25">
      <c r="A265" s="97">
        <v>11</v>
      </c>
      <c r="B265" s="97">
        <v>2</v>
      </c>
      <c r="C265" s="101">
        <v>2024</v>
      </c>
      <c r="D265" s="119">
        <v>45459</v>
      </c>
      <c r="E265" s="116" t="s">
        <v>329</v>
      </c>
      <c r="F265" s="116" t="s">
        <v>254</v>
      </c>
      <c r="G265" s="97">
        <v>2</v>
      </c>
      <c r="H265" s="97">
        <v>0</v>
      </c>
      <c r="I265" s="120">
        <v>-2</v>
      </c>
      <c r="J265" s="97">
        <f>MATCHHISTORIK[[#This Row],[HL M]]+MATCHHISTORIK[[#This Row],[BL M]]</f>
        <v>2</v>
      </c>
      <c r="L265" s="97"/>
      <c r="O265" s="97">
        <v>1</v>
      </c>
      <c r="AE265" s="98"/>
    </row>
    <row r="266" spans="1:31" x14ac:dyDescent="0.25">
      <c r="A266" s="97">
        <v>12</v>
      </c>
      <c r="B266" s="97">
        <v>2</v>
      </c>
      <c r="C266" s="101">
        <v>2024</v>
      </c>
      <c r="D266" s="119">
        <v>45466</v>
      </c>
      <c r="E266" s="116" t="s">
        <v>304</v>
      </c>
      <c r="F266" s="116" t="s">
        <v>254</v>
      </c>
      <c r="G266" s="97">
        <v>2</v>
      </c>
      <c r="H266" s="97">
        <v>3</v>
      </c>
      <c r="I266" s="120">
        <v>1</v>
      </c>
      <c r="J266" s="97">
        <f>MATCHHISTORIK[[#This Row],[HL M]]+MATCHHISTORIK[[#This Row],[BL M]]</f>
        <v>5</v>
      </c>
      <c r="K266" s="97">
        <v>1</v>
      </c>
      <c r="L266" s="97">
        <v>1</v>
      </c>
      <c r="M266" s="97">
        <v>1</v>
      </c>
      <c r="AE266" s="98"/>
    </row>
    <row r="267" spans="1:31" x14ac:dyDescent="0.25">
      <c r="A267" s="97">
        <v>13</v>
      </c>
      <c r="B267" s="97">
        <v>2</v>
      </c>
      <c r="C267" s="101">
        <v>2024</v>
      </c>
      <c r="D267" s="119">
        <v>45472</v>
      </c>
      <c r="E267" s="116" t="s">
        <v>254</v>
      </c>
      <c r="F267" s="116" t="s">
        <v>323</v>
      </c>
      <c r="G267" s="97">
        <v>1</v>
      </c>
      <c r="H267" s="97">
        <v>0</v>
      </c>
      <c r="I267" s="120">
        <v>1</v>
      </c>
      <c r="J267" s="97">
        <f>MATCHHISTORIK[[#This Row],[HL M]]+MATCHHISTORIK[[#This Row],[BL M]]</f>
        <v>1</v>
      </c>
      <c r="K267" s="97">
        <v>2</v>
      </c>
      <c r="L267" s="97">
        <v>1</v>
      </c>
      <c r="M267" s="97">
        <v>1</v>
      </c>
      <c r="AE267" s="98"/>
    </row>
    <row r="268" spans="1:31" x14ac:dyDescent="0.25">
      <c r="A268" s="97">
        <v>7</v>
      </c>
      <c r="B268" s="97" t="s">
        <v>335</v>
      </c>
      <c r="C268" s="101">
        <v>2024</v>
      </c>
      <c r="D268" s="119">
        <v>45511</v>
      </c>
      <c r="E268" s="116" t="s">
        <v>273</v>
      </c>
      <c r="F268" s="116" t="s">
        <v>254</v>
      </c>
      <c r="G268" s="97">
        <v>0</v>
      </c>
      <c r="H268" s="97">
        <v>4</v>
      </c>
      <c r="I268" s="120">
        <v>4</v>
      </c>
      <c r="J268" s="97">
        <f>MATCHHISTORIK[[#This Row],[HL M]]+MATCHHISTORIK[[#This Row],[BL M]]</f>
        <v>4</v>
      </c>
      <c r="K268" s="97">
        <v>3</v>
      </c>
      <c r="L268" s="97">
        <v>1</v>
      </c>
      <c r="M268" s="97">
        <v>1</v>
      </c>
      <c r="AE268" s="98"/>
    </row>
    <row r="269" spans="1:31" x14ac:dyDescent="0.25">
      <c r="A269" s="97">
        <v>14</v>
      </c>
      <c r="B269" s="97">
        <v>2</v>
      </c>
      <c r="C269" s="101">
        <v>2024</v>
      </c>
      <c r="D269" s="119">
        <v>45514</v>
      </c>
      <c r="E269" s="116" t="s">
        <v>348</v>
      </c>
      <c r="F269" s="116" t="s">
        <v>254</v>
      </c>
      <c r="G269" s="97">
        <v>0</v>
      </c>
      <c r="H269" s="97">
        <v>3</v>
      </c>
      <c r="I269" s="120">
        <v>3</v>
      </c>
      <c r="J269" s="97">
        <f>MATCHHISTORIK[[#This Row],[HL M]]+MATCHHISTORIK[[#This Row],[BL M]]</f>
        <v>3</v>
      </c>
      <c r="K269" s="97">
        <v>4</v>
      </c>
      <c r="L269" s="97">
        <v>1</v>
      </c>
      <c r="M269" s="97">
        <v>1</v>
      </c>
      <c r="AE269" s="98"/>
    </row>
    <row r="270" spans="1:31" x14ac:dyDescent="0.25">
      <c r="A270" s="97">
        <v>15</v>
      </c>
      <c r="B270" s="97">
        <v>2</v>
      </c>
      <c r="C270" s="101">
        <v>2024</v>
      </c>
      <c r="D270" s="119">
        <v>45521</v>
      </c>
      <c r="E270" s="116" t="s">
        <v>254</v>
      </c>
      <c r="F270" s="116" t="s">
        <v>274</v>
      </c>
      <c r="G270" s="97">
        <v>2</v>
      </c>
      <c r="H270" s="97">
        <v>3</v>
      </c>
      <c r="I270" s="120">
        <v>-1</v>
      </c>
      <c r="J270" s="97">
        <f>MATCHHISTORIK[[#This Row],[HL M]]+MATCHHISTORIK[[#This Row],[BL M]]</f>
        <v>5</v>
      </c>
      <c r="L270" s="97">
        <v>1</v>
      </c>
      <c r="O270" s="97">
        <v>1</v>
      </c>
      <c r="AE270" s="98"/>
    </row>
    <row r="271" spans="1:31" x14ac:dyDescent="0.25">
      <c r="A271" s="97">
        <v>16</v>
      </c>
      <c r="B271" s="97">
        <v>2</v>
      </c>
      <c r="C271" s="101">
        <v>2024</v>
      </c>
      <c r="D271" s="119">
        <v>45528</v>
      </c>
      <c r="E271" s="116" t="s">
        <v>292</v>
      </c>
      <c r="F271" s="116" t="s">
        <v>254</v>
      </c>
      <c r="G271" s="97">
        <v>1</v>
      </c>
      <c r="H271" s="97">
        <v>3</v>
      </c>
      <c r="I271" s="120">
        <v>2</v>
      </c>
      <c r="J271" s="97">
        <f>MATCHHISTORIK[[#This Row],[HL M]]+MATCHHISTORIK[[#This Row],[BL M]]</f>
        <v>4</v>
      </c>
      <c r="K271" s="97">
        <v>1</v>
      </c>
      <c r="L271" s="97">
        <v>1</v>
      </c>
      <c r="M271" s="97">
        <v>1</v>
      </c>
      <c r="AE271" s="98"/>
    </row>
    <row r="272" spans="1:31" x14ac:dyDescent="0.25">
      <c r="A272" s="97">
        <v>17</v>
      </c>
      <c r="B272" s="97">
        <v>2</v>
      </c>
      <c r="C272" s="101">
        <v>2024</v>
      </c>
      <c r="D272" s="119">
        <v>45536</v>
      </c>
      <c r="E272" s="116" t="s">
        <v>254</v>
      </c>
      <c r="F272" s="116" t="s">
        <v>272</v>
      </c>
      <c r="G272" s="97">
        <v>4</v>
      </c>
      <c r="H272" s="97">
        <v>2</v>
      </c>
      <c r="I272" s="120">
        <v>2</v>
      </c>
      <c r="J272" s="97">
        <f>MATCHHISTORIK[[#This Row],[HL M]]+MATCHHISTORIK[[#This Row],[BL M]]</f>
        <v>6</v>
      </c>
      <c r="K272" s="97">
        <v>2</v>
      </c>
      <c r="L272" s="97">
        <v>1</v>
      </c>
      <c r="M272" s="97">
        <v>1</v>
      </c>
      <c r="AE272" s="98"/>
    </row>
    <row r="273" spans="1:31" x14ac:dyDescent="0.25">
      <c r="A273" s="97">
        <v>8</v>
      </c>
      <c r="B273" s="97" t="s">
        <v>335</v>
      </c>
      <c r="C273" s="101">
        <v>2024</v>
      </c>
      <c r="D273" s="119">
        <v>45546</v>
      </c>
      <c r="E273" s="116" t="s">
        <v>254</v>
      </c>
      <c r="F273" s="116" t="s">
        <v>320</v>
      </c>
      <c r="G273" s="97">
        <v>1</v>
      </c>
      <c r="H273" s="97">
        <v>0</v>
      </c>
      <c r="I273" s="120">
        <v>1</v>
      </c>
      <c r="J273" s="97">
        <f>MATCHHISTORIK[[#This Row],[HL M]]+MATCHHISTORIK[[#This Row],[BL M]]</f>
        <v>1</v>
      </c>
      <c r="K273" s="97">
        <v>3</v>
      </c>
      <c r="L273" s="97">
        <v>1</v>
      </c>
      <c r="M273" s="97">
        <v>1</v>
      </c>
      <c r="AE273" s="98"/>
    </row>
    <row r="274" spans="1:31" x14ac:dyDescent="0.25">
      <c r="A274" s="97">
        <v>19</v>
      </c>
      <c r="B274" s="97">
        <v>2</v>
      </c>
      <c r="C274" s="101">
        <v>2024</v>
      </c>
      <c r="D274" s="119">
        <v>45549</v>
      </c>
      <c r="E274" s="116" t="s">
        <v>308</v>
      </c>
      <c r="F274" s="116" t="s">
        <v>254</v>
      </c>
      <c r="G274" s="97">
        <v>4</v>
      </c>
      <c r="H274" s="97">
        <v>0</v>
      </c>
      <c r="I274" s="120">
        <v>-4</v>
      </c>
      <c r="J274" s="97">
        <f>MATCHHISTORIK[[#This Row],[HL M]]+MATCHHISTORIK[[#This Row],[BL M]]</f>
        <v>4</v>
      </c>
      <c r="L274" s="97"/>
      <c r="O274" s="97">
        <v>1</v>
      </c>
      <c r="AE274" s="98"/>
    </row>
    <row r="275" spans="1:31" x14ac:dyDescent="0.25">
      <c r="A275" s="97">
        <v>20</v>
      </c>
      <c r="B275" s="97">
        <v>2</v>
      </c>
      <c r="C275" s="101">
        <v>2024</v>
      </c>
      <c r="D275" s="119">
        <v>45556</v>
      </c>
      <c r="E275" s="116" t="s">
        <v>254</v>
      </c>
      <c r="F275" s="116" t="s">
        <v>347</v>
      </c>
      <c r="G275" s="97">
        <v>8</v>
      </c>
      <c r="H275" s="97">
        <v>0</v>
      </c>
      <c r="I275" s="120">
        <v>8</v>
      </c>
      <c r="J275" s="97">
        <f>MATCHHISTORIK[[#This Row],[HL M]]+MATCHHISTORIK[[#This Row],[BL M]]</f>
        <v>8</v>
      </c>
      <c r="K275" s="97">
        <v>1</v>
      </c>
      <c r="L275" s="97">
        <v>1</v>
      </c>
      <c r="M275" s="97">
        <v>1</v>
      </c>
      <c r="AE275" s="98"/>
    </row>
    <row r="276" spans="1:31" x14ac:dyDescent="0.25">
      <c r="A276" s="97">
        <v>21</v>
      </c>
      <c r="B276" s="97">
        <v>2</v>
      </c>
      <c r="C276" s="101">
        <v>2024</v>
      </c>
      <c r="D276" s="119">
        <v>45564</v>
      </c>
      <c r="E276" s="116" t="s">
        <v>270</v>
      </c>
      <c r="F276" s="116" t="s">
        <v>254</v>
      </c>
      <c r="G276" s="97">
        <v>3</v>
      </c>
      <c r="H276" s="97">
        <v>1</v>
      </c>
      <c r="I276" s="120">
        <v>-2</v>
      </c>
      <c r="J276" s="97">
        <f>MATCHHISTORIK[[#This Row],[HL M]]+MATCHHISTORIK[[#This Row],[BL M]]</f>
        <v>4</v>
      </c>
      <c r="L276" s="97">
        <v>1</v>
      </c>
      <c r="O276" s="97">
        <v>1</v>
      </c>
      <c r="AE276" s="98"/>
    </row>
    <row r="277" spans="1:31" x14ac:dyDescent="0.25">
      <c r="A277" s="97">
        <v>22</v>
      </c>
      <c r="B277" s="97">
        <v>2</v>
      </c>
      <c r="C277" s="101">
        <v>2024</v>
      </c>
      <c r="D277" s="119">
        <v>45570</v>
      </c>
      <c r="E277" s="116" t="s">
        <v>254</v>
      </c>
      <c r="F277" s="116" t="s">
        <v>329</v>
      </c>
      <c r="G277" s="97">
        <v>2</v>
      </c>
      <c r="H277" s="97">
        <v>4</v>
      </c>
      <c r="I277" s="120">
        <v>-2</v>
      </c>
      <c r="J277" s="97">
        <f>MATCHHISTORIK[[#This Row],[HL M]]+MATCHHISTORIK[[#This Row],[BL M]]</f>
        <v>6</v>
      </c>
      <c r="L277" s="97">
        <v>1</v>
      </c>
      <c r="O277" s="97">
        <v>1</v>
      </c>
      <c r="AE277" s="98"/>
    </row>
    <row r="278" spans="1:31" x14ac:dyDescent="0.25">
      <c r="A278" s="97">
        <v>1</v>
      </c>
      <c r="B278" s="97" t="s">
        <v>335</v>
      </c>
      <c r="C278" s="101">
        <v>2025</v>
      </c>
      <c r="D278" s="119">
        <v>45717</v>
      </c>
      <c r="E278" s="116" t="s">
        <v>349</v>
      </c>
      <c r="F278" s="116" t="s">
        <v>254</v>
      </c>
      <c r="G278" s="97">
        <v>0</v>
      </c>
      <c r="H278" s="97">
        <v>5</v>
      </c>
      <c r="I278" s="120">
        <v>5</v>
      </c>
      <c r="J278" s="97">
        <f>MATCHHISTORIK[[#This Row],[HL M]]+MATCHHISTORIK[[#This Row],[BL M]]</f>
        <v>5</v>
      </c>
      <c r="K278" s="97">
        <v>1</v>
      </c>
      <c r="L278" s="97">
        <v>1</v>
      </c>
      <c r="M278" s="97">
        <v>1</v>
      </c>
      <c r="AE278" s="98"/>
    </row>
    <row r="279" spans="1:31" x14ac:dyDescent="0.25">
      <c r="A279" s="97">
        <v>2</v>
      </c>
      <c r="B279" s="97" t="s">
        <v>335</v>
      </c>
      <c r="C279" s="101">
        <v>2025</v>
      </c>
      <c r="D279" s="119">
        <v>45725</v>
      </c>
      <c r="E279" s="116" t="s">
        <v>254</v>
      </c>
      <c r="F279" s="116" t="s">
        <v>258</v>
      </c>
      <c r="G279" s="97">
        <v>1</v>
      </c>
      <c r="H279" s="97">
        <v>1</v>
      </c>
      <c r="I279" s="120">
        <v>0</v>
      </c>
      <c r="J279" s="97">
        <f>MATCHHISTORIK[[#This Row],[HL M]]+MATCHHISTORIK[[#This Row],[BL M]]</f>
        <v>2</v>
      </c>
      <c r="K279" s="97">
        <v>2</v>
      </c>
      <c r="L279" s="97">
        <v>1</v>
      </c>
      <c r="N279" s="97">
        <v>1</v>
      </c>
      <c r="AE279" s="98"/>
    </row>
    <row r="280" spans="1:31" x14ac:dyDescent="0.25">
      <c r="A280" s="97">
        <v>3</v>
      </c>
      <c r="B280" s="97" t="s">
        <v>335</v>
      </c>
      <c r="C280" s="101">
        <v>2025</v>
      </c>
      <c r="D280" s="119">
        <v>45731</v>
      </c>
      <c r="E280" s="116" t="s">
        <v>350</v>
      </c>
      <c r="F280" s="116" t="s">
        <v>254</v>
      </c>
      <c r="G280" s="97">
        <v>1</v>
      </c>
      <c r="H280" s="97">
        <v>3</v>
      </c>
      <c r="I280" s="120">
        <v>2</v>
      </c>
      <c r="J280" s="97">
        <f>MATCHHISTORIK[[#This Row],[HL M]]+MATCHHISTORIK[[#This Row],[BL M]]</f>
        <v>4</v>
      </c>
      <c r="K280" s="97">
        <v>3</v>
      </c>
      <c r="L280" s="97">
        <v>1</v>
      </c>
      <c r="M280" s="97">
        <v>1</v>
      </c>
      <c r="AE280" s="98"/>
    </row>
    <row r="281" spans="1:31" x14ac:dyDescent="0.25">
      <c r="A281" s="97">
        <v>1</v>
      </c>
      <c r="B281" s="97">
        <v>2</v>
      </c>
      <c r="C281" s="101">
        <v>2025</v>
      </c>
      <c r="D281" s="119">
        <v>45752</v>
      </c>
      <c r="E281" s="116" t="s">
        <v>272</v>
      </c>
      <c r="F281" s="116" t="s">
        <v>254</v>
      </c>
      <c r="G281" s="97">
        <v>7</v>
      </c>
      <c r="H281" s="97">
        <v>0</v>
      </c>
      <c r="I281" s="120">
        <v>-7</v>
      </c>
      <c r="J281" s="97">
        <f>MATCHHISTORIK[[#This Row],[HL M]]+MATCHHISTORIK[[#This Row],[BL M]]</f>
        <v>7</v>
      </c>
      <c r="L281" s="97"/>
      <c r="O281" s="97">
        <v>1</v>
      </c>
      <c r="AE281" s="98"/>
    </row>
    <row r="282" spans="1:31" x14ac:dyDescent="0.25">
      <c r="A282" s="97">
        <v>1</v>
      </c>
      <c r="B282" s="97" t="s">
        <v>335</v>
      </c>
      <c r="C282" s="101">
        <v>2026</v>
      </c>
      <c r="D282" s="119">
        <v>46082</v>
      </c>
      <c r="E282" s="116" t="s">
        <v>258</v>
      </c>
      <c r="F282" s="116" t="s">
        <v>254</v>
      </c>
      <c r="G282" s="97">
        <v>4</v>
      </c>
      <c r="H282" s="97">
        <v>0</v>
      </c>
      <c r="I282" s="120">
        <v>-4</v>
      </c>
      <c r="J282" s="97">
        <f>MATCHHISTORIK[[#This Row],[HL M]]+MATCHHISTORIK[[#This Row],[BL M]]</f>
        <v>4</v>
      </c>
      <c r="L282" s="97"/>
      <c r="AE282" s="98"/>
    </row>
    <row r="283" spans="1:31" x14ac:dyDescent="0.25">
      <c r="A283" s="97">
        <v>1</v>
      </c>
      <c r="B283" s="97">
        <v>4</v>
      </c>
      <c r="C283" s="101">
        <v>2026</v>
      </c>
      <c r="D283" s="119">
        <v>46124</v>
      </c>
      <c r="E283" s="116" t="s">
        <v>387</v>
      </c>
      <c r="F283" s="116" t="s">
        <v>254</v>
      </c>
      <c r="G283" s="97">
        <v>0</v>
      </c>
      <c r="H283" s="97">
        <v>16</v>
      </c>
      <c r="I283" s="120">
        <v>16</v>
      </c>
      <c r="J283" s="97">
        <f>MATCHHISTORIK[[#This Row],[HL M]]+MATCHHISTORIK[[#This Row],[BL M]]</f>
        <v>16</v>
      </c>
      <c r="K283" s="97">
        <v>1</v>
      </c>
      <c r="L283" s="97">
        <v>1</v>
      </c>
      <c r="M283" s="97">
        <v>1</v>
      </c>
      <c r="AE283" s="98"/>
    </row>
    <row r="284" spans="1:31" x14ac:dyDescent="0.25">
      <c r="A284" s="97">
        <v>2</v>
      </c>
      <c r="B284" s="97">
        <v>4</v>
      </c>
      <c r="C284" s="101">
        <v>2026</v>
      </c>
      <c r="D284" s="119">
        <v>46130</v>
      </c>
      <c r="E284" s="116" t="s">
        <v>254</v>
      </c>
      <c r="F284" s="116" t="s">
        <v>392</v>
      </c>
      <c r="G284" s="97">
        <v>1</v>
      </c>
      <c r="H284" s="97">
        <v>1</v>
      </c>
      <c r="I284" s="120">
        <v>0</v>
      </c>
      <c r="J284" s="97">
        <f>MATCHHISTORIK[[#This Row],[HL M]]+MATCHHISTORIK[[#This Row],[BL M]]</f>
        <v>2</v>
      </c>
      <c r="K284" s="97">
        <v>2</v>
      </c>
      <c r="L284" s="97">
        <v>1</v>
      </c>
      <c r="N284" s="97">
        <v>1</v>
      </c>
      <c r="AE284" s="98"/>
    </row>
    <row r="285" spans="1:31" x14ac:dyDescent="0.25">
      <c r="A285" s="97">
        <v>3</v>
      </c>
      <c r="B285" s="97">
        <v>4</v>
      </c>
      <c r="C285" s="101">
        <v>2026</v>
      </c>
      <c r="D285" s="119">
        <v>46137</v>
      </c>
      <c r="E285" s="116" t="s">
        <v>254</v>
      </c>
      <c r="F285" s="116" t="s">
        <v>350</v>
      </c>
      <c r="G285" s="97">
        <v>9</v>
      </c>
      <c r="H285" s="97">
        <v>1</v>
      </c>
      <c r="I285" s="120">
        <v>8</v>
      </c>
      <c r="J285" s="97">
        <f>MATCHHISTORIK[[#This Row],[HL M]]+MATCHHISTORIK[[#This Row],[BL M]]</f>
        <v>10</v>
      </c>
      <c r="K285" s="97">
        <v>3</v>
      </c>
      <c r="L285" s="97">
        <v>1</v>
      </c>
      <c r="M285" s="97">
        <v>1</v>
      </c>
      <c r="AE285" s="98"/>
    </row>
    <row r="286" spans="1:31" x14ac:dyDescent="0.25">
      <c r="A286" s="97">
        <v>4</v>
      </c>
      <c r="B286" s="97">
        <v>4</v>
      </c>
      <c r="C286" s="101"/>
      <c r="D286" s="119">
        <v>46145</v>
      </c>
      <c r="E286" s="116" t="s">
        <v>399</v>
      </c>
      <c r="F286" s="116" t="s">
        <v>254</v>
      </c>
      <c r="J286" s="97">
        <f>MATCHHISTORIK[[#This Row],[HL M]]+MATCHHISTORIK[[#This Row],[BL M]]</f>
        <v>0</v>
      </c>
      <c r="L286" s="97"/>
      <c r="AE286" s="98"/>
    </row>
    <row r="287" spans="1:31" x14ac:dyDescent="0.25">
      <c r="A287" s="97">
        <v>5</v>
      </c>
      <c r="B287" s="97">
        <v>4</v>
      </c>
      <c r="C287" s="101"/>
      <c r="D287" s="119">
        <v>46150</v>
      </c>
      <c r="E287" s="116" t="s">
        <v>254</v>
      </c>
      <c r="F287" s="116" t="s">
        <v>400</v>
      </c>
      <c r="J287" s="97">
        <f>MATCHHISTORIK[[#This Row],[HL M]]+MATCHHISTORIK[[#This Row],[BL M]]</f>
        <v>0</v>
      </c>
      <c r="L287" s="97"/>
      <c r="AE287" s="98"/>
    </row>
    <row r="288" spans="1:31" x14ac:dyDescent="0.25">
      <c r="A288" s="97">
        <v>6</v>
      </c>
      <c r="B288" s="97">
        <v>4</v>
      </c>
      <c r="C288" s="101"/>
      <c r="D288" s="119">
        <v>46157</v>
      </c>
      <c r="E288" s="116" t="s">
        <v>401</v>
      </c>
      <c r="F288" s="116" t="s">
        <v>254</v>
      </c>
      <c r="J288" s="97">
        <f>MATCHHISTORIK[[#This Row],[HL M]]+MATCHHISTORIK[[#This Row],[BL M]]</f>
        <v>0</v>
      </c>
      <c r="L288" s="97"/>
      <c r="AE288" s="98"/>
    </row>
    <row r="289" spans="1:31" x14ac:dyDescent="0.25">
      <c r="A289" s="97">
        <v>7</v>
      </c>
      <c r="B289" s="97">
        <v>4</v>
      </c>
      <c r="C289" s="101"/>
      <c r="D289" s="119">
        <v>46164</v>
      </c>
      <c r="E289" s="116" t="s">
        <v>254</v>
      </c>
      <c r="F289" s="116" t="s">
        <v>402</v>
      </c>
      <c r="J289" s="97">
        <f>MATCHHISTORIK[[#This Row],[HL M]]+MATCHHISTORIK[[#This Row],[BL M]]</f>
        <v>0</v>
      </c>
      <c r="L289" s="97"/>
      <c r="AE289" s="98"/>
    </row>
    <row r="290" spans="1:31" x14ac:dyDescent="0.25">
      <c r="A290" s="97">
        <v>8</v>
      </c>
      <c r="B290" s="97">
        <v>4</v>
      </c>
      <c r="C290" s="101"/>
      <c r="D290" s="119">
        <v>46172</v>
      </c>
      <c r="E290" s="116" t="s">
        <v>403</v>
      </c>
      <c r="F290" s="116" t="s">
        <v>254</v>
      </c>
      <c r="J290" s="97">
        <f>MATCHHISTORIK[[#This Row],[HL M]]+MATCHHISTORIK[[#This Row],[BL M]]</f>
        <v>0</v>
      </c>
      <c r="L290" s="97"/>
      <c r="AE290" s="98"/>
    </row>
    <row r="291" spans="1:31" x14ac:dyDescent="0.25">
      <c r="A291" s="97">
        <v>9</v>
      </c>
      <c r="B291" s="97">
        <v>4</v>
      </c>
      <c r="C291" s="101"/>
      <c r="D291" s="119">
        <v>46182</v>
      </c>
      <c r="E291" s="116" t="s">
        <v>254</v>
      </c>
      <c r="F291" s="116" t="s">
        <v>289</v>
      </c>
      <c r="J291" s="97">
        <f>MATCHHISTORIK[[#This Row],[HL M]]+MATCHHISTORIK[[#This Row],[BL M]]</f>
        <v>0</v>
      </c>
      <c r="L291" s="97"/>
      <c r="AE291" s="98"/>
    </row>
    <row r="292" spans="1:31" x14ac:dyDescent="0.25">
      <c r="A292" s="97">
        <v>10</v>
      </c>
      <c r="B292" s="97">
        <v>4</v>
      </c>
      <c r="C292" s="101"/>
      <c r="D292" s="119">
        <v>46189</v>
      </c>
      <c r="E292" s="116" t="s">
        <v>254</v>
      </c>
      <c r="F292" s="116" t="s">
        <v>387</v>
      </c>
      <c r="J292" s="97">
        <f>MATCHHISTORIK[[#This Row],[HL M]]+MATCHHISTORIK[[#This Row],[BL M]]</f>
        <v>0</v>
      </c>
      <c r="L292" s="97"/>
      <c r="AE292" s="98"/>
    </row>
    <row r="293" spans="1:31" x14ac:dyDescent="0.25">
      <c r="A293" s="97">
        <v>11</v>
      </c>
      <c r="B293" s="97">
        <v>4</v>
      </c>
      <c r="C293" s="101"/>
      <c r="D293" s="119">
        <v>46247</v>
      </c>
      <c r="E293" s="116" t="s">
        <v>392</v>
      </c>
      <c r="F293" s="116" t="s">
        <v>254</v>
      </c>
      <c r="J293" s="97">
        <f>MATCHHISTORIK[[#This Row],[HL M]]+MATCHHISTORIK[[#This Row],[BL M]]</f>
        <v>0</v>
      </c>
      <c r="L293" s="97"/>
      <c r="AE293" s="98"/>
    </row>
    <row r="294" spans="1:31" x14ac:dyDescent="0.25">
      <c r="A294" s="97">
        <v>12</v>
      </c>
      <c r="B294" s="97">
        <v>4</v>
      </c>
      <c r="C294" s="101"/>
      <c r="D294" s="119">
        <v>46255</v>
      </c>
      <c r="E294" s="116" t="s">
        <v>350</v>
      </c>
      <c r="F294" s="116" t="s">
        <v>254</v>
      </c>
      <c r="J294" s="97">
        <f>MATCHHISTORIK[[#This Row],[HL M]]+MATCHHISTORIK[[#This Row],[BL M]]</f>
        <v>0</v>
      </c>
      <c r="L294" s="97"/>
      <c r="AE294" s="98"/>
    </row>
    <row r="295" spans="1:31" x14ac:dyDescent="0.25">
      <c r="A295" s="97">
        <v>13</v>
      </c>
      <c r="B295" s="97">
        <v>4</v>
      </c>
      <c r="C295" s="101"/>
      <c r="D295" s="119">
        <v>46262</v>
      </c>
      <c r="E295" s="116" t="s">
        <v>254</v>
      </c>
      <c r="F295" s="116" t="s">
        <v>404</v>
      </c>
      <c r="J295" s="97">
        <f>MATCHHISTORIK[[#This Row],[HL M]]+MATCHHISTORIK[[#This Row],[BL M]]</f>
        <v>0</v>
      </c>
      <c r="L295" s="97"/>
      <c r="AE295" s="98"/>
    </row>
    <row r="296" spans="1:31" x14ac:dyDescent="0.25">
      <c r="A296" s="97">
        <v>14</v>
      </c>
      <c r="B296" s="97">
        <v>4</v>
      </c>
      <c r="C296" s="101"/>
      <c r="D296" s="119">
        <v>46270</v>
      </c>
      <c r="E296" s="116" t="s">
        <v>400</v>
      </c>
      <c r="F296" s="116" t="s">
        <v>254</v>
      </c>
      <c r="J296" s="97">
        <f>MATCHHISTORIK[[#This Row],[HL M]]+MATCHHISTORIK[[#This Row],[BL M]]</f>
        <v>0</v>
      </c>
      <c r="L296" s="97"/>
      <c r="AE296" s="98"/>
    </row>
    <row r="297" spans="1:31" x14ac:dyDescent="0.25">
      <c r="A297" s="97">
        <v>15</v>
      </c>
      <c r="B297" s="97">
        <v>4</v>
      </c>
      <c r="C297" s="101"/>
      <c r="D297" s="119">
        <v>46277</v>
      </c>
      <c r="E297" s="116" t="s">
        <v>254</v>
      </c>
      <c r="F297" s="116" t="s">
        <v>401</v>
      </c>
      <c r="J297" s="97">
        <f>MATCHHISTORIK[[#This Row],[HL M]]+MATCHHISTORIK[[#This Row],[BL M]]</f>
        <v>0</v>
      </c>
      <c r="L297" s="97"/>
      <c r="AE297" s="98"/>
    </row>
    <row r="298" spans="1:31" x14ac:dyDescent="0.25">
      <c r="A298" s="97">
        <v>16</v>
      </c>
      <c r="B298" s="97">
        <v>4</v>
      </c>
      <c r="C298" s="101"/>
      <c r="D298" s="119">
        <v>46284</v>
      </c>
      <c r="E298" s="116" t="s">
        <v>405</v>
      </c>
      <c r="F298" s="116" t="s">
        <v>254</v>
      </c>
      <c r="J298" s="97">
        <f>MATCHHISTORIK[[#This Row],[HL M]]+MATCHHISTORIK[[#This Row],[BL M]]</f>
        <v>0</v>
      </c>
      <c r="L298" s="97"/>
      <c r="AE298" s="98"/>
    </row>
    <row r="299" spans="1:31" x14ac:dyDescent="0.25">
      <c r="A299" s="97">
        <v>17</v>
      </c>
      <c r="B299" s="97">
        <v>4</v>
      </c>
      <c r="C299" s="101"/>
      <c r="D299" s="119">
        <v>46290</v>
      </c>
      <c r="E299" s="116" t="s">
        <v>254</v>
      </c>
      <c r="F299" s="116" t="s">
        <v>403</v>
      </c>
      <c r="J299" s="97">
        <f>MATCHHISTORIK[[#This Row],[HL M]]+MATCHHISTORIK[[#This Row],[BL M]]</f>
        <v>0</v>
      </c>
      <c r="L299" s="97"/>
      <c r="AE299" s="98"/>
    </row>
    <row r="300" spans="1:31" x14ac:dyDescent="0.25">
      <c r="A300" s="97">
        <v>18</v>
      </c>
      <c r="B300" s="97">
        <v>4</v>
      </c>
      <c r="C300" s="101"/>
      <c r="D300" s="119">
        <v>46298</v>
      </c>
      <c r="E300" s="116" t="s">
        <v>289</v>
      </c>
      <c r="F300" s="116" t="s">
        <v>254</v>
      </c>
      <c r="J300" s="97">
        <f>MATCHHISTORIK[[#This Row],[HL M]]+MATCHHISTORIK[[#This Row],[BL M]]</f>
        <v>0</v>
      </c>
      <c r="L300" s="97"/>
      <c r="AE300" s="98"/>
    </row>
    <row r="301" spans="1:31" x14ac:dyDescent="0.25">
      <c r="AE301" s="98"/>
    </row>
    <row r="302" spans="1:31" x14ac:dyDescent="0.25">
      <c r="AE302" s="98"/>
    </row>
    <row r="303" spans="1:31" x14ac:dyDescent="0.25">
      <c r="AE303" s="98"/>
    </row>
    <row r="304" spans="1:31" x14ac:dyDescent="0.25">
      <c r="AE304" s="98"/>
    </row>
    <row r="305" spans="31:31" x14ac:dyDescent="0.25">
      <c r="AE305" s="98"/>
    </row>
    <row r="306" spans="31:31" x14ac:dyDescent="0.25">
      <c r="AE306" s="98"/>
    </row>
    <row r="307" spans="31:31" x14ac:dyDescent="0.25">
      <c r="AE307" s="98"/>
    </row>
    <row r="308" spans="31:31" x14ac:dyDescent="0.25">
      <c r="AE308" s="98"/>
    </row>
    <row r="309" spans="31:31" x14ac:dyDescent="0.25">
      <c r="AE309" s="98"/>
    </row>
    <row r="310" spans="31:31" x14ac:dyDescent="0.25">
      <c r="AE310" s="98"/>
    </row>
    <row r="311" spans="31:31" x14ac:dyDescent="0.25">
      <c r="AE311" s="98"/>
    </row>
    <row r="312" spans="31:31" x14ac:dyDescent="0.25">
      <c r="AE312" s="98"/>
    </row>
    <row r="313" spans="31:31" x14ac:dyDescent="0.25">
      <c r="AE313" s="98"/>
    </row>
    <row r="314" spans="31:31" x14ac:dyDescent="0.25">
      <c r="AE314" s="98"/>
    </row>
    <row r="315" spans="31:31" x14ac:dyDescent="0.25">
      <c r="AE315" s="98"/>
    </row>
    <row r="316" spans="31:31" x14ac:dyDescent="0.25">
      <c r="AE316" s="98"/>
    </row>
    <row r="317" spans="31:31" x14ac:dyDescent="0.25">
      <c r="AE317" s="98"/>
    </row>
    <row r="318" spans="31:31" x14ac:dyDescent="0.25">
      <c r="AE318" s="98"/>
    </row>
    <row r="319" spans="31:31" x14ac:dyDescent="0.25">
      <c r="AE319" s="98"/>
    </row>
    <row r="320" spans="31:31" x14ac:dyDescent="0.25">
      <c r="AE320" s="98"/>
    </row>
    <row r="321" spans="5:31" x14ac:dyDescent="0.25">
      <c r="AE321" s="98"/>
    </row>
    <row r="322" spans="5:31" x14ac:dyDescent="0.25">
      <c r="AE322" s="98"/>
    </row>
    <row r="323" spans="5:31" x14ac:dyDescent="0.25">
      <c r="AE323" s="98"/>
    </row>
    <row r="324" spans="5:31" x14ac:dyDescent="0.25">
      <c r="AE324" s="98"/>
    </row>
    <row r="325" spans="5:31" x14ac:dyDescent="0.25">
      <c r="AE325" s="98"/>
    </row>
    <row r="326" spans="5:31" x14ac:dyDescent="0.25">
      <c r="AE326" s="98"/>
    </row>
    <row r="327" spans="5:31" x14ac:dyDescent="0.25">
      <c r="AE327" s="98"/>
    </row>
    <row r="328" spans="5:31" x14ac:dyDescent="0.25">
      <c r="AE328" s="98"/>
    </row>
    <row r="329" spans="5:31" x14ac:dyDescent="0.25">
      <c r="E329" s="98"/>
      <c r="AE329" s="98"/>
    </row>
    <row r="330" spans="5:31" x14ac:dyDescent="0.25">
      <c r="E330" s="98"/>
      <c r="AE330" s="98"/>
    </row>
    <row r="331" spans="5:31" x14ac:dyDescent="0.25">
      <c r="E331" s="98"/>
      <c r="AE331" s="98"/>
    </row>
    <row r="332" spans="5:31" x14ac:dyDescent="0.25">
      <c r="E332" s="98"/>
      <c r="AE332" s="98"/>
    </row>
    <row r="333" spans="5:31" x14ac:dyDescent="0.25">
      <c r="E333" s="98"/>
      <c r="AE333" s="98"/>
    </row>
    <row r="334" spans="5:31" x14ac:dyDescent="0.25">
      <c r="E334" s="98"/>
      <c r="AE334" s="98"/>
    </row>
    <row r="335" spans="5:31" x14ac:dyDescent="0.25">
      <c r="E335" s="98"/>
      <c r="AE335" s="98"/>
    </row>
    <row r="336" spans="5:31" x14ac:dyDescent="0.25">
      <c r="E336" s="98"/>
      <c r="AE336" s="98"/>
    </row>
    <row r="337" spans="5:31" x14ac:dyDescent="0.25">
      <c r="E337" s="98"/>
      <c r="AE337" s="98"/>
    </row>
    <row r="338" spans="5:31" x14ac:dyDescent="0.25">
      <c r="E338" s="98"/>
      <c r="AE338" s="98"/>
    </row>
    <row r="339" spans="5:31" x14ac:dyDescent="0.25">
      <c r="E339" s="98"/>
      <c r="AE339" s="98"/>
    </row>
    <row r="340" spans="5:31" x14ac:dyDescent="0.25">
      <c r="E340" s="98"/>
      <c r="AE340" s="98"/>
    </row>
    <row r="341" spans="5:31" x14ac:dyDescent="0.25">
      <c r="E341" s="98"/>
      <c r="AE341" s="98"/>
    </row>
    <row r="342" spans="5:31" x14ac:dyDescent="0.25">
      <c r="E342" s="98"/>
      <c r="AE342" s="98"/>
    </row>
    <row r="343" spans="5:31" x14ac:dyDescent="0.25">
      <c r="E343" s="98"/>
      <c r="AE343" s="98"/>
    </row>
    <row r="344" spans="5:31" x14ac:dyDescent="0.25">
      <c r="E344" s="98"/>
      <c r="AE344" s="98"/>
    </row>
    <row r="345" spans="5:31" x14ac:dyDescent="0.25">
      <c r="E345" s="98"/>
      <c r="AE345" s="98"/>
    </row>
    <row r="346" spans="5:31" x14ac:dyDescent="0.25">
      <c r="E346" s="98"/>
      <c r="AE346" s="98"/>
    </row>
    <row r="347" spans="5:31" x14ac:dyDescent="0.25">
      <c r="E347" s="98"/>
      <c r="AE347" s="98"/>
    </row>
    <row r="348" spans="5:31" x14ac:dyDescent="0.25">
      <c r="E348" s="98"/>
      <c r="AE348" s="98"/>
    </row>
    <row r="349" spans="5:31" x14ac:dyDescent="0.25">
      <c r="E349" s="98"/>
      <c r="AE349" s="98"/>
    </row>
    <row r="350" spans="5:31" x14ac:dyDescent="0.25">
      <c r="E350" s="98"/>
      <c r="AE350" s="98"/>
    </row>
    <row r="351" spans="5:31" x14ac:dyDescent="0.25">
      <c r="E351" s="98"/>
      <c r="AE351" s="98"/>
    </row>
    <row r="352" spans="5:31" x14ac:dyDescent="0.25">
      <c r="E352" s="98"/>
      <c r="AE352" s="98"/>
    </row>
    <row r="353" spans="5:31" x14ac:dyDescent="0.25">
      <c r="E353" s="98"/>
      <c r="AE353" s="98"/>
    </row>
    <row r="354" spans="5:31" x14ac:dyDescent="0.25">
      <c r="E354" s="98"/>
      <c r="AE354" s="98"/>
    </row>
    <row r="355" spans="5:31" x14ac:dyDescent="0.25">
      <c r="E355" s="98"/>
      <c r="AE355" s="98"/>
    </row>
    <row r="356" spans="5:31" x14ac:dyDescent="0.25">
      <c r="E356" s="98"/>
      <c r="AE356" s="98"/>
    </row>
    <row r="357" spans="5:31" x14ac:dyDescent="0.25">
      <c r="E357" s="98"/>
      <c r="AE357" s="98"/>
    </row>
    <row r="358" spans="5:31" x14ac:dyDescent="0.25">
      <c r="E358" s="98"/>
      <c r="AE358" s="98"/>
    </row>
    <row r="359" spans="5:31" x14ac:dyDescent="0.25">
      <c r="E359" s="98"/>
      <c r="AE359" s="98"/>
    </row>
    <row r="360" spans="5:31" x14ac:dyDescent="0.25">
      <c r="E360" s="98"/>
      <c r="AE360" s="98"/>
    </row>
    <row r="361" spans="5:31" x14ac:dyDescent="0.25">
      <c r="E361" s="98"/>
      <c r="AE361" s="98"/>
    </row>
    <row r="362" spans="5:31" x14ac:dyDescent="0.25">
      <c r="E362" s="98"/>
      <c r="AE362" s="98"/>
    </row>
    <row r="363" spans="5:31" x14ac:dyDescent="0.25">
      <c r="E363" s="98"/>
      <c r="AE363" s="98"/>
    </row>
    <row r="364" spans="5:31" x14ac:dyDescent="0.25">
      <c r="E364" s="98"/>
      <c r="AE364" s="98"/>
    </row>
    <row r="365" spans="5:31" x14ac:dyDescent="0.25">
      <c r="E365" s="98"/>
      <c r="AE365" s="98"/>
    </row>
    <row r="366" spans="5:31" x14ac:dyDescent="0.25">
      <c r="E366" s="98"/>
      <c r="AE366" s="98"/>
    </row>
    <row r="367" spans="5:31" x14ac:dyDescent="0.25">
      <c r="E367" s="98"/>
      <c r="AE367" s="98"/>
    </row>
    <row r="368" spans="5:31" x14ac:dyDescent="0.25">
      <c r="E368" s="98"/>
      <c r="AE368" s="98"/>
    </row>
    <row r="369" spans="5:31" x14ac:dyDescent="0.25">
      <c r="E369" s="98"/>
      <c r="AE369" s="98"/>
    </row>
    <row r="370" spans="5:31" x14ac:dyDescent="0.25">
      <c r="E370" s="98"/>
      <c r="AE370" s="98"/>
    </row>
    <row r="371" spans="5:31" x14ac:dyDescent="0.25">
      <c r="E371" s="98"/>
      <c r="AE371" s="98"/>
    </row>
    <row r="372" spans="5:31" x14ac:dyDescent="0.25">
      <c r="E372" s="98"/>
      <c r="AE372" s="98"/>
    </row>
    <row r="373" spans="5:31" x14ac:dyDescent="0.25">
      <c r="E373" s="98"/>
      <c r="AE373" s="98"/>
    </row>
    <row r="374" spans="5:31" x14ac:dyDescent="0.25">
      <c r="E374" s="98"/>
      <c r="AE374" s="98"/>
    </row>
    <row r="375" spans="5:31" x14ac:dyDescent="0.25">
      <c r="E375" s="98"/>
      <c r="AE375" s="98"/>
    </row>
    <row r="376" spans="5:31" x14ac:dyDescent="0.25">
      <c r="E376" s="98"/>
      <c r="AE376" s="98"/>
    </row>
    <row r="377" spans="5:31" x14ac:dyDescent="0.25">
      <c r="E377" s="98"/>
      <c r="AE377" s="98"/>
    </row>
    <row r="378" spans="5:31" x14ac:dyDescent="0.25">
      <c r="E378" s="98"/>
      <c r="AE378" s="98"/>
    </row>
    <row r="379" spans="5:31" x14ac:dyDescent="0.25">
      <c r="E379" s="98"/>
      <c r="AE379" s="98"/>
    </row>
    <row r="380" spans="5:31" x14ac:dyDescent="0.25">
      <c r="E380" s="98"/>
      <c r="AE380" s="98"/>
    </row>
    <row r="381" spans="5:31" x14ac:dyDescent="0.25">
      <c r="E381" s="98"/>
      <c r="AE381" s="98"/>
    </row>
    <row r="382" spans="5:31" x14ac:dyDescent="0.25">
      <c r="E382" s="98"/>
      <c r="AE382" s="98"/>
    </row>
    <row r="383" spans="5:31" x14ac:dyDescent="0.25">
      <c r="E383" s="98"/>
      <c r="AE383" s="98"/>
    </row>
    <row r="384" spans="5:31" x14ac:dyDescent="0.25">
      <c r="E384" s="98"/>
      <c r="AE384" s="98"/>
    </row>
    <row r="385" spans="5:31" x14ac:dyDescent="0.25">
      <c r="E385" s="98"/>
      <c r="AE385" s="98"/>
    </row>
    <row r="386" spans="5:31" x14ac:dyDescent="0.25">
      <c r="E386" s="98"/>
      <c r="AE386" s="98"/>
    </row>
    <row r="387" spans="5:31" x14ac:dyDescent="0.25">
      <c r="E387" s="98"/>
      <c r="AE387" s="98"/>
    </row>
    <row r="388" spans="5:31" x14ac:dyDescent="0.25">
      <c r="E388" s="98"/>
      <c r="AE388" s="98"/>
    </row>
    <row r="389" spans="5:31" x14ac:dyDescent="0.25">
      <c r="E389" s="98"/>
      <c r="AE389" s="98"/>
    </row>
    <row r="390" spans="5:31" x14ac:dyDescent="0.25">
      <c r="E390" s="98"/>
      <c r="AE390" s="98"/>
    </row>
    <row r="391" spans="5:31" x14ac:dyDescent="0.25">
      <c r="E391" s="98"/>
      <c r="AE391" s="98"/>
    </row>
    <row r="392" spans="5:31" x14ac:dyDescent="0.25">
      <c r="E392" s="98"/>
      <c r="AE392" s="98"/>
    </row>
    <row r="393" spans="5:31" x14ac:dyDescent="0.25">
      <c r="E393" s="98"/>
      <c r="AE393" s="98"/>
    </row>
    <row r="394" spans="5:31" x14ac:dyDescent="0.25">
      <c r="E394" s="98"/>
      <c r="AE394" s="98"/>
    </row>
    <row r="395" spans="5:31" x14ac:dyDescent="0.25">
      <c r="E395" s="98"/>
      <c r="AE395" s="98"/>
    </row>
    <row r="396" spans="5:31" x14ac:dyDescent="0.25">
      <c r="E396" s="98"/>
      <c r="AE396" s="98"/>
    </row>
    <row r="397" spans="5:31" x14ac:dyDescent="0.25">
      <c r="E397" s="98"/>
      <c r="AE397" s="98"/>
    </row>
    <row r="398" spans="5:31" x14ac:dyDescent="0.25">
      <c r="E398" s="98"/>
      <c r="AE398" s="98"/>
    </row>
    <row r="399" spans="5:31" x14ac:dyDescent="0.25">
      <c r="E399" s="98"/>
      <c r="AE399" s="98"/>
    </row>
    <row r="400" spans="5:31" x14ac:dyDescent="0.25">
      <c r="E400" s="98"/>
      <c r="AE400" s="98"/>
    </row>
    <row r="401" spans="5:31" x14ac:dyDescent="0.25">
      <c r="E401" s="98"/>
      <c r="AE401" s="98"/>
    </row>
    <row r="402" spans="5:31" x14ac:dyDescent="0.25">
      <c r="E402" s="98"/>
      <c r="AE402" s="98"/>
    </row>
    <row r="403" spans="5:31" x14ac:dyDescent="0.25">
      <c r="E403" s="98"/>
      <c r="AE403" s="98"/>
    </row>
    <row r="404" spans="5:31" x14ac:dyDescent="0.25">
      <c r="E404" s="98"/>
      <c r="AE404" s="98"/>
    </row>
    <row r="405" spans="5:31" x14ac:dyDescent="0.25">
      <c r="E405" s="98"/>
      <c r="AE405" s="98"/>
    </row>
    <row r="406" spans="5:31" x14ac:dyDescent="0.25">
      <c r="E406" s="98"/>
      <c r="AE406" s="98"/>
    </row>
    <row r="407" spans="5:31" x14ac:dyDescent="0.25">
      <c r="E407" s="98"/>
      <c r="AE407" s="98"/>
    </row>
    <row r="408" spans="5:31" x14ac:dyDescent="0.25">
      <c r="E408" s="98"/>
      <c r="AE408" s="98"/>
    </row>
    <row r="409" spans="5:31" x14ac:dyDescent="0.25">
      <c r="E409" s="98"/>
      <c r="AE409" s="98"/>
    </row>
    <row r="410" spans="5:31" x14ac:dyDescent="0.25">
      <c r="E410" s="98"/>
      <c r="AE410" s="98"/>
    </row>
    <row r="411" spans="5:31" x14ac:dyDescent="0.25">
      <c r="E411" s="98"/>
      <c r="AE411" s="98"/>
    </row>
    <row r="412" spans="5:31" x14ac:dyDescent="0.25">
      <c r="E412" s="98"/>
      <c r="AE412" s="98"/>
    </row>
    <row r="413" spans="5:31" x14ac:dyDescent="0.25">
      <c r="E413" s="98"/>
      <c r="AE413" s="98"/>
    </row>
    <row r="414" spans="5:31" x14ac:dyDescent="0.25">
      <c r="E414" s="98"/>
      <c r="AE414" s="98"/>
    </row>
    <row r="415" spans="5:31" x14ac:dyDescent="0.25">
      <c r="E415" s="98"/>
      <c r="AE415" s="98"/>
    </row>
    <row r="416" spans="5:31" x14ac:dyDescent="0.25">
      <c r="E416" s="98"/>
      <c r="AE416" s="98"/>
    </row>
    <row r="417" spans="5:31" x14ac:dyDescent="0.25">
      <c r="E417" s="98"/>
      <c r="AE417" s="98"/>
    </row>
    <row r="418" spans="5:31" x14ac:dyDescent="0.25">
      <c r="E418" s="98"/>
      <c r="AE418" s="98"/>
    </row>
    <row r="419" spans="5:31" x14ac:dyDescent="0.25">
      <c r="E419" s="98"/>
      <c r="AE419" s="98"/>
    </row>
    <row r="420" spans="5:31" x14ac:dyDescent="0.25">
      <c r="E420" s="98"/>
      <c r="AE420" s="98"/>
    </row>
    <row r="421" spans="5:31" x14ac:dyDescent="0.25">
      <c r="E421" s="98"/>
      <c r="AE421" s="98"/>
    </row>
    <row r="422" spans="5:31" x14ac:dyDescent="0.25">
      <c r="E422" s="98"/>
      <c r="AE422" s="98"/>
    </row>
    <row r="423" spans="5:31" x14ac:dyDescent="0.25">
      <c r="E423" s="98"/>
      <c r="AE423" s="98"/>
    </row>
    <row r="424" spans="5:31" x14ac:dyDescent="0.25">
      <c r="E424" s="98"/>
      <c r="AE424" s="98"/>
    </row>
    <row r="425" spans="5:31" x14ac:dyDescent="0.25">
      <c r="E425" s="98"/>
      <c r="AE425" s="98"/>
    </row>
    <row r="426" spans="5:31" x14ac:dyDescent="0.25">
      <c r="E426" s="98"/>
      <c r="AE426" s="98"/>
    </row>
    <row r="427" spans="5:31" x14ac:dyDescent="0.25">
      <c r="E427" s="98"/>
      <c r="AE427" s="98"/>
    </row>
    <row r="428" spans="5:31" x14ac:dyDescent="0.25">
      <c r="E428" s="98"/>
      <c r="AE428" s="98"/>
    </row>
    <row r="429" spans="5:31" x14ac:dyDescent="0.25">
      <c r="E429" s="98"/>
      <c r="AE429" s="98"/>
    </row>
    <row r="430" spans="5:31" x14ac:dyDescent="0.25">
      <c r="E430" s="98"/>
      <c r="AE430" s="98"/>
    </row>
    <row r="431" spans="5:31" x14ac:dyDescent="0.25">
      <c r="E431" s="98"/>
      <c r="AE431" s="98"/>
    </row>
    <row r="432" spans="5:31" x14ac:dyDescent="0.25">
      <c r="E432" s="98"/>
      <c r="AE432" s="98"/>
    </row>
    <row r="433" spans="5:31" x14ac:dyDescent="0.25">
      <c r="E433" s="98"/>
      <c r="AE433" s="98"/>
    </row>
    <row r="434" spans="5:31" x14ac:dyDescent="0.25">
      <c r="E434" s="98"/>
      <c r="AE434" s="98"/>
    </row>
    <row r="435" spans="5:31" x14ac:dyDescent="0.25">
      <c r="E435" s="98"/>
      <c r="AE435" s="98"/>
    </row>
    <row r="436" spans="5:31" x14ac:dyDescent="0.25">
      <c r="E436" s="98"/>
      <c r="AE436" s="98"/>
    </row>
    <row r="437" spans="5:31" x14ac:dyDescent="0.25">
      <c r="E437" s="98"/>
      <c r="AE437" s="98"/>
    </row>
    <row r="438" spans="5:31" x14ac:dyDescent="0.25">
      <c r="E438" s="98"/>
      <c r="AE438" s="98"/>
    </row>
    <row r="439" spans="5:31" x14ac:dyDescent="0.25">
      <c r="E439" s="98"/>
      <c r="AE439" s="98"/>
    </row>
    <row r="440" spans="5:31" x14ac:dyDescent="0.25">
      <c r="E440" s="98"/>
      <c r="AE440" s="98"/>
    </row>
    <row r="441" spans="5:31" x14ac:dyDescent="0.25">
      <c r="E441" s="98"/>
      <c r="AE441" s="98"/>
    </row>
    <row r="442" spans="5:31" x14ac:dyDescent="0.25">
      <c r="E442" s="98"/>
      <c r="AE442" s="98"/>
    </row>
    <row r="443" spans="5:31" x14ac:dyDescent="0.25">
      <c r="E443" s="98"/>
      <c r="AE443" s="98"/>
    </row>
    <row r="444" spans="5:31" x14ac:dyDescent="0.25">
      <c r="E444" s="98"/>
      <c r="AE444" s="98"/>
    </row>
    <row r="445" spans="5:31" x14ac:dyDescent="0.25">
      <c r="E445" s="98"/>
      <c r="AE445" s="98"/>
    </row>
    <row r="446" spans="5:31" x14ac:dyDescent="0.25">
      <c r="E446" s="98"/>
      <c r="AE446" s="98"/>
    </row>
    <row r="447" spans="5:31" x14ac:dyDescent="0.25">
      <c r="E447" s="98"/>
      <c r="AE447" s="98"/>
    </row>
    <row r="448" spans="5:31" x14ac:dyDescent="0.25">
      <c r="E448" s="98"/>
      <c r="AE448" s="98"/>
    </row>
    <row r="449" spans="5:31" x14ac:dyDescent="0.25">
      <c r="E449" s="98"/>
      <c r="AE449" s="98"/>
    </row>
    <row r="450" spans="5:31" x14ac:dyDescent="0.25">
      <c r="E450" s="98"/>
      <c r="AE450" s="98"/>
    </row>
    <row r="451" spans="5:31" x14ac:dyDescent="0.25">
      <c r="E451" s="98"/>
      <c r="AE451" s="98"/>
    </row>
    <row r="452" spans="5:31" x14ac:dyDescent="0.25">
      <c r="E452" s="98"/>
      <c r="AE452" s="98"/>
    </row>
    <row r="453" spans="5:31" x14ac:dyDescent="0.25">
      <c r="E453" s="98"/>
      <c r="AE453" s="98"/>
    </row>
    <row r="454" spans="5:31" x14ac:dyDescent="0.25">
      <c r="E454" s="98"/>
      <c r="AE454" s="98"/>
    </row>
    <row r="455" spans="5:31" x14ac:dyDescent="0.25">
      <c r="E455" s="98"/>
      <c r="AE455" s="98"/>
    </row>
    <row r="456" spans="5:31" x14ac:dyDescent="0.25">
      <c r="E456" s="98"/>
      <c r="AE456" s="98"/>
    </row>
    <row r="457" spans="5:31" x14ac:dyDescent="0.25">
      <c r="E457" s="98"/>
      <c r="AE457" s="98"/>
    </row>
    <row r="458" spans="5:31" x14ac:dyDescent="0.25">
      <c r="E458" s="98"/>
      <c r="AE458" s="98"/>
    </row>
    <row r="459" spans="5:31" x14ac:dyDescent="0.25">
      <c r="E459" s="98"/>
      <c r="AE459" s="98"/>
    </row>
    <row r="460" spans="5:31" x14ac:dyDescent="0.25">
      <c r="E460" s="98"/>
      <c r="AE460" s="98"/>
    </row>
    <row r="461" spans="5:31" x14ac:dyDescent="0.25">
      <c r="E461" s="98"/>
      <c r="AE461" s="98"/>
    </row>
    <row r="462" spans="5:31" x14ac:dyDescent="0.25">
      <c r="E462" s="98"/>
      <c r="AE462" s="98"/>
    </row>
    <row r="463" spans="5:31" x14ac:dyDescent="0.25">
      <c r="E463" s="98"/>
      <c r="AE463" s="98"/>
    </row>
    <row r="464" spans="5:31" x14ac:dyDescent="0.25">
      <c r="E464" s="98"/>
      <c r="AE464" s="98"/>
    </row>
    <row r="465" spans="5:31" x14ac:dyDescent="0.25">
      <c r="E465" s="98"/>
      <c r="AE465" s="98"/>
    </row>
    <row r="466" spans="5:31" x14ac:dyDescent="0.25">
      <c r="E466" s="98"/>
      <c r="AE466" s="98"/>
    </row>
    <row r="467" spans="5:31" x14ac:dyDescent="0.25">
      <c r="E467" s="98"/>
      <c r="AE467" s="98"/>
    </row>
    <row r="468" spans="5:31" x14ac:dyDescent="0.25">
      <c r="E468" s="98"/>
      <c r="AE468" s="98"/>
    </row>
    <row r="469" spans="5:31" x14ac:dyDescent="0.25">
      <c r="E469" s="98"/>
      <c r="AE469" s="98"/>
    </row>
    <row r="470" spans="5:31" x14ac:dyDescent="0.25">
      <c r="E470" s="98"/>
    </row>
    <row r="471" spans="5:31" x14ac:dyDescent="0.25">
      <c r="E471" s="98"/>
    </row>
    <row r="472" spans="5:31" x14ac:dyDescent="0.25">
      <c r="E472" s="98"/>
    </row>
    <row r="473" spans="5:31" x14ac:dyDescent="0.25">
      <c r="E473" s="98"/>
    </row>
    <row r="474" spans="5:31" x14ac:dyDescent="0.25">
      <c r="E474" s="98"/>
    </row>
    <row r="475" spans="5:31" x14ac:dyDescent="0.25">
      <c r="E475" s="98"/>
    </row>
    <row r="476" spans="5:31" x14ac:dyDescent="0.25">
      <c r="E476" s="98"/>
    </row>
    <row r="477" spans="5:31" x14ac:dyDescent="0.25">
      <c r="E477" s="98"/>
    </row>
    <row r="478" spans="5:31" x14ac:dyDescent="0.25">
      <c r="E478" s="98"/>
    </row>
    <row r="479" spans="5:31" x14ac:dyDescent="0.25">
      <c r="E479" s="98"/>
    </row>
    <row r="480" spans="5:31" x14ac:dyDescent="0.25">
      <c r="E480" s="98"/>
    </row>
    <row r="481" spans="5:5" x14ac:dyDescent="0.25">
      <c r="E481" s="98"/>
    </row>
    <row r="482" spans="5:5" x14ac:dyDescent="0.25">
      <c r="E482" s="98"/>
    </row>
    <row r="483" spans="5:5" x14ac:dyDescent="0.25">
      <c r="E483" s="98"/>
    </row>
    <row r="484" spans="5:5" x14ac:dyDescent="0.25">
      <c r="E484" s="98"/>
    </row>
    <row r="485" spans="5:5" x14ac:dyDescent="0.25">
      <c r="E485" s="98"/>
    </row>
    <row r="486" spans="5:5" x14ac:dyDescent="0.25">
      <c r="E486" s="98"/>
    </row>
    <row r="487" spans="5:5" x14ac:dyDescent="0.25">
      <c r="E487" s="98"/>
    </row>
    <row r="488" spans="5:5" x14ac:dyDescent="0.25">
      <c r="E488" s="98"/>
    </row>
    <row r="489" spans="5:5" x14ac:dyDescent="0.25">
      <c r="E489" s="98"/>
    </row>
    <row r="490" spans="5:5" x14ac:dyDescent="0.25">
      <c r="E490" s="98"/>
    </row>
    <row r="491" spans="5:5" x14ac:dyDescent="0.25">
      <c r="E491" s="98"/>
    </row>
    <row r="492" spans="5:5" x14ac:dyDescent="0.25">
      <c r="E492" s="98"/>
    </row>
    <row r="493" spans="5:5" x14ac:dyDescent="0.25">
      <c r="E493" s="98"/>
    </row>
    <row r="494" spans="5:5" x14ac:dyDescent="0.25">
      <c r="E494" s="98"/>
    </row>
    <row r="495" spans="5:5" x14ac:dyDescent="0.25">
      <c r="E495" s="98"/>
    </row>
    <row r="496" spans="5:5" x14ac:dyDescent="0.25">
      <c r="E496" s="98"/>
    </row>
    <row r="497" spans="5:5" x14ac:dyDescent="0.25">
      <c r="E497" s="98"/>
    </row>
    <row r="498" spans="5:5" x14ac:dyDescent="0.25">
      <c r="E498" s="98"/>
    </row>
    <row r="499" spans="5:5" x14ac:dyDescent="0.25">
      <c r="E499" s="98"/>
    </row>
    <row r="500" spans="5:5" x14ac:dyDescent="0.25">
      <c r="E500" s="98"/>
    </row>
    <row r="501" spans="5:5" x14ac:dyDescent="0.25">
      <c r="E501" s="98"/>
    </row>
    <row r="502" spans="5:5" x14ac:dyDescent="0.25">
      <c r="E502" s="98"/>
    </row>
    <row r="503" spans="5:5" x14ac:dyDescent="0.25">
      <c r="E503" s="98"/>
    </row>
    <row r="504" spans="5:5" x14ac:dyDescent="0.25">
      <c r="E504" s="98"/>
    </row>
    <row r="505" spans="5:5" x14ac:dyDescent="0.25">
      <c r="E505" s="98"/>
    </row>
    <row r="506" spans="5:5" x14ac:dyDescent="0.25">
      <c r="E506" s="98"/>
    </row>
    <row r="507" spans="5:5" x14ac:dyDescent="0.25">
      <c r="E507" s="98"/>
    </row>
    <row r="508" spans="5:5" x14ac:dyDescent="0.25">
      <c r="E508" s="98"/>
    </row>
    <row r="509" spans="5:5" x14ac:dyDescent="0.25">
      <c r="E509" s="98"/>
    </row>
    <row r="510" spans="5:5" x14ac:dyDescent="0.25">
      <c r="E510" s="98"/>
    </row>
    <row r="511" spans="5:5" x14ac:dyDescent="0.25">
      <c r="E511" s="98"/>
    </row>
    <row r="512" spans="5:5" x14ac:dyDescent="0.25">
      <c r="E512" s="98"/>
    </row>
    <row r="513" spans="5:5" x14ac:dyDescent="0.25">
      <c r="E513" s="98"/>
    </row>
    <row r="514" spans="5:5" x14ac:dyDescent="0.25">
      <c r="E514" s="98"/>
    </row>
    <row r="515" spans="5:5" x14ac:dyDescent="0.25">
      <c r="E515" s="98"/>
    </row>
    <row r="516" spans="5:5" x14ac:dyDescent="0.25">
      <c r="E516" s="98"/>
    </row>
    <row r="517" spans="5:5" x14ac:dyDescent="0.25">
      <c r="E517" s="98"/>
    </row>
    <row r="518" spans="5:5" x14ac:dyDescent="0.25">
      <c r="E518" s="98"/>
    </row>
    <row r="519" spans="5:5" x14ac:dyDescent="0.25">
      <c r="E519" s="98"/>
    </row>
    <row r="520" spans="5:5" x14ac:dyDescent="0.25">
      <c r="E520" s="98"/>
    </row>
    <row r="521" spans="5:5" x14ac:dyDescent="0.25">
      <c r="E521" s="98"/>
    </row>
    <row r="522" spans="5:5" x14ac:dyDescent="0.25">
      <c r="E522" s="98"/>
    </row>
    <row r="523" spans="5:5" x14ac:dyDescent="0.25">
      <c r="E523" s="98"/>
    </row>
    <row r="524" spans="5:5" x14ac:dyDescent="0.25">
      <c r="E524" s="98"/>
    </row>
    <row r="525" spans="5:5" x14ac:dyDescent="0.25">
      <c r="E525" s="98"/>
    </row>
    <row r="526" spans="5:5" x14ac:dyDescent="0.25">
      <c r="E526" s="98"/>
    </row>
    <row r="527" spans="5:5" x14ac:dyDescent="0.25">
      <c r="E527" s="98"/>
    </row>
    <row r="528" spans="5:5" x14ac:dyDescent="0.25">
      <c r="E528" s="98"/>
    </row>
    <row r="529" spans="5:5" x14ac:dyDescent="0.25">
      <c r="E529" s="98"/>
    </row>
    <row r="530" spans="5:5" x14ac:dyDescent="0.25">
      <c r="E530" s="98"/>
    </row>
    <row r="531" spans="5:5" x14ac:dyDescent="0.25">
      <c r="E531" s="98"/>
    </row>
    <row r="532" spans="5:5" x14ac:dyDescent="0.25">
      <c r="E532" s="98"/>
    </row>
    <row r="533" spans="5:5" x14ac:dyDescent="0.25">
      <c r="E533" s="98"/>
    </row>
    <row r="534" spans="5:5" x14ac:dyDescent="0.25">
      <c r="E534" s="98"/>
    </row>
    <row r="535" spans="5:5" x14ac:dyDescent="0.25">
      <c r="E535" s="98"/>
    </row>
    <row r="536" spans="5:5" x14ac:dyDescent="0.25">
      <c r="E536" s="98"/>
    </row>
    <row r="537" spans="5:5" x14ac:dyDescent="0.25">
      <c r="E537" s="98"/>
    </row>
    <row r="538" spans="5:5" x14ac:dyDescent="0.25">
      <c r="E538" s="98"/>
    </row>
    <row r="539" spans="5:5" x14ac:dyDescent="0.25">
      <c r="E539" s="98"/>
    </row>
    <row r="540" spans="5:5" x14ac:dyDescent="0.25">
      <c r="E540" s="98"/>
    </row>
    <row r="541" spans="5:5" x14ac:dyDescent="0.25">
      <c r="E541" s="98"/>
    </row>
    <row r="542" spans="5:5" x14ac:dyDescent="0.25">
      <c r="E542" s="98"/>
    </row>
    <row r="543" spans="5:5" x14ac:dyDescent="0.25">
      <c r="E543" s="98"/>
    </row>
    <row r="544" spans="5:5" x14ac:dyDescent="0.25">
      <c r="E544" s="98"/>
    </row>
    <row r="545" spans="5:5" x14ac:dyDescent="0.25">
      <c r="E545" s="98"/>
    </row>
    <row r="546" spans="5:5" x14ac:dyDescent="0.25">
      <c r="E546" s="98"/>
    </row>
    <row r="547" spans="5:5" x14ac:dyDescent="0.25">
      <c r="E547" s="98"/>
    </row>
    <row r="548" spans="5:5" x14ac:dyDescent="0.25">
      <c r="E548" s="98"/>
    </row>
    <row r="549" spans="5:5" x14ac:dyDescent="0.25">
      <c r="E549" s="98"/>
    </row>
    <row r="550" spans="5:5" x14ac:dyDescent="0.25">
      <c r="E550" s="98"/>
    </row>
    <row r="551" spans="5:5" x14ac:dyDescent="0.25">
      <c r="E551" s="98"/>
    </row>
    <row r="552" spans="5:5" x14ac:dyDescent="0.25">
      <c r="E552" s="98"/>
    </row>
    <row r="553" spans="5:5" x14ac:dyDescent="0.25">
      <c r="E553" s="98"/>
    </row>
    <row r="554" spans="5:5" x14ac:dyDescent="0.25">
      <c r="E554" s="98"/>
    </row>
    <row r="555" spans="5:5" x14ac:dyDescent="0.25">
      <c r="E555" s="98"/>
    </row>
    <row r="556" spans="5:5" x14ac:dyDescent="0.25">
      <c r="E556" s="98"/>
    </row>
    <row r="557" spans="5:5" x14ac:dyDescent="0.25">
      <c r="E557" s="98"/>
    </row>
    <row r="558" spans="5:5" x14ac:dyDescent="0.25">
      <c r="E558" s="98"/>
    </row>
    <row r="559" spans="5:5" x14ac:dyDescent="0.25">
      <c r="E559" s="98"/>
    </row>
    <row r="560" spans="5:5" x14ac:dyDescent="0.25">
      <c r="E560" s="98"/>
    </row>
    <row r="561" spans="5:5" x14ac:dyDescent="0.25">
      <c r="E561" s="98"/>
    </row>
    <row r="562" spans="5:5" x14ac:dyDescent="0.25">
      <c r="E562" s="98"/>
    </row>
    <row r="563" spans="5:5" x14ac:dyDescent="0.25">
      <c r="E563" s="98"/>
    </row>
    <row r="564" spans="5:5" x14ac:dyDescent="0.25">
      <c r="E564" s="98"/>
    </row>
    <row r="565" spans="5:5" x14ac:dyDescent="0.25">
      <c r="E565" s="98"/>
    </row>
    <row r="566" spans="5:5" x14ac:dyDescent="0.25">
      <c r="E566" s="98"/>
    </row>
    <row r="567" spans="5:5" x14ac:dyDescent="0.25">
      <c r="E567" s="98"/>
    </row>
    <row r="568" spans="5:5" x14ac:dyDescent="0.25">
      <c r="E568" s="98"/>
    </row>
    <row r="569" spans="5:5" x14ac:dyDescent="0.25">
      <c r="E569" s="98"/>
    </row>
    <row r="570" spans="5:5" x14ac:dyDescent="0.25">
      <c r="E570" s="98"/>
    </row>
    <row r="571" spans="5:5" x14ac:dyDescent="0.25">
      <c r="E571" s="98"/>
    </row>
    <row r="572" spans="5:5" x14ac:dyDescent="0.25">
      <c r="E572" s="98"/>
    </row>
    <row r="573" spans="5:5" x14ac:dyDescent="0.25">
      <c r="E573" s="98"/>
    </row>
    <row r="574" spans="5:5" x14ac:dyDescent="0.25">
      <c r="E574" s="98"/>
    </row>
    <row r="575" spans="5:5" x14ac:dyDescent="0.25">
      <c r="E575" s="98"/>
    </row>
    <row r="576" spans="5:5" x14ac:dyDescent="0.25">
      <c r="E576" s="98"/>
    </row>
    <row r="577" spans="5:5" x14ac:dyDescent="0.25">
      <c r="E577" s="98"/>
    </row>
    <row r="578" spans="5:5" x14ac:dyDescent="0.25">
      <c r="E578" s="98"/>
    </row>
    <row r="579" spans="5:5" x14ac:dyDescent="0.25">
      <c r="E579" s="98"/>
    </row>
    <row r="580" spans="5:5" x14ac:dyDescent="0.25">
      <c r="E580" s="98"/>
    </row>
    <row r="581" spans="5:5" x14ac:dyDescent="0.25">
      <c r="E581" s="98"/>
    </row>
    <row r="582" spans="5:5" x14ac:dyDescent="0.25">
      <c r="E582" s="98"/>
    </row>
    <row r="583" spans="5:5" x14ac:dyDescent="0.25">
      <c r="E583" s="98"/>
    </row>
    <row r="584" spans="5:5" x14ac:dyDescent="0.25">
      <c r="E584" s="98"/>
    </row>
    <row r="585" spans="5:5" x14ac:dyDescent="0.25">
      <c r="E585" s="98"/>
    </row>
    <row r="586" spans="5:5" x14ac:dyDescent="0.25">
      <c r="E586" s="98"/>
    </row>
    <row r="587" spans="5:5" x14ac:dyDescent="0.25">
      <c r="E587" s="98"/>
    </row>
    <row r="588" spans="5:5" x14ac:dyDescent="0.25">
      <c r="E588" s="98"/>
    </row>
    <row r="589" spans="5:5" x14ac:dyDescent="0.25">
      <c r="E589" s="98"/>
    </row>
    <row r="590" spans="5:5" x14ac:dyDescent="0.25">
      <c r="E590" s="98"/>
    </row>
    <row r="591" spans="5:5" x14ac:dyDescent="0.25">
      <c r="E591" s="98"/>
    </row>
    <row r="592" spans="5:5" x14ac:dyDescent="0.25">
      <c r="E592" s="98"/>
    </row>
    <row r="593" spans="5:5" x14ac:dyDescent="0.25">
      <c r="E593" s="98"/>
    </row>
    <row r="594" spans="5:5" x14ac:dyDescent="0.25">
      <c r="E594" s="98"/>
    </row>
    <row r="595" spans="5:5" x14ac:dyDescent="0.25">
      <c r="E595" s="98"/>
    </row>
    <row r="596" spans="5:5" x14ac:dyDescent="0.25">
      <c r="E596" s="98"/>
    </row>
    <row r="597" spans="5:5" x14ac:dyDescent="0.25">
      <c r="E597" s="98"/>
    </row>
    <row r="598" spans="5:5" x14ac:dyDescent="0.25">
      <c r="E598" s="98"/>
    </row>
    <row r="599" spans="5:5" x14ac:dyDescent="0.25">
      <c r="E599" s="98"/>
    </row>
    <row r="600" spans="5:5" x14ac:dyDescent="0.25">
      <c r="E600" s="98"/>
    </row>
    <row r="601" spans="5:5" x14ac:dyDescent="0.25">
      <c r="E601" s="98"/>
    </row>
    <row r="602" spans="5:5" x14ac:dyDescent="0.25">
      <c r="E602" s="98"/>
    </row>
    <row r="603" spans="5:5" x14ac:dyDescent="0.25">
      <c r="E603" s="98"/>
    </row>
    <row r="604" spans="5:5" x14ac:dyDescent="0.25">
      <c r="E604" s="98"/>
    </row>
    <row r="605" spans="5:5" x14ac:dyDescent="0.25">
      <c r="E605" s="98"/>
    </row>
    <row r="606" spans="5:5" x14ac:dyDescent="0.25">
      <c r="E606" s="98"/>
    </row>
    <row r="607" spans="5:5" x14ac:dyDescent="0.25">
      <c r="E607" s="98"/>
    </row>
    <row r="608" spans="5:5" x14ac:dyDescent="0.25">
      <c r="E608" s="98"/>
    </row>
    <row r="609" spans="5:5" x14ac:dyDescent="0.25">
      <c r="E609" s="98"/>
    </row>
    <row r="610" spans="5:5" x14ac:dyDescent="0.25">
      <c r="E610" s="98"/>
    </row>
    <row r="611" spans="5:5" x14ac:dyDescent="0.25">
      <c r="E611" s="98"/>
    </row>
    <row r="612" spans="5:5" x14ac:dyDescent="0.25">
      <c r="E612" s="98"/>
    </row>
    <row r="613" spans="5:5" x14ac:dyDescent="0.25">
      <c r="E613" s="98"/>
    </row>
    <row r="614" spans="5:5" x14ac:dyDescent="0.25">
      <c r="E614" s="98"/>
    </row>
    <row r="615" spans="5:5" x14ac:dyDescent="0.25">
      <c r="E615" s="98"/>
    </row>
    <row r="616" spans="5:5" x14ac:dyDescent="0.25">
      <c r="E616" s="98"/>
    </row>
    <row r="617" spans="5:5" x14ac:dyDescent="0.25">
      <c r="E617" s="98"/>
    </row>
    <row r="618" spans="5:5" x14ac:dyDescent="0.25">
      <c r="E618" s="98"/>
    </row>
    <row r="619" spans="5:5" x14ac:dyDescent="0.25">
      <c r="E619" s="98"/>
    </row>
    <row r="620" spans="5:5" x14ac:dyDescent="0.25">
      <c r="E620" s="98"/>
    </row>
    <row r="621" spans="5:5" x14ac:dyDescent="0.25">
      <c r="E621" s="98"/>
    </row>
    <row r="622" spans="5:5" x14ac:dyDescent="0.25">
      <c r="E622" s="98"/>
    </row>
    <row r="623" spans="5:5" x14ac:dyDescent="0.25">
      <c r="E623" s="98"/>
    </row>
    <row r="624" spans="5:5" x14ac:dyDescent="0.25">
      <c r="E624" s="98"/>
    </row>
    <row r="625" spans="5:5" x14ac:dyDescent="0.25">
      <c r="E625" s="98"/>
    </row>
    <row r="626" spans="5:5" x14ac:dyDescent="0.25">
      <c r="E626" s="98"/>
    </row>
    <row r="627" spans="5:5" x14ac:dyDescent="0.25">
      <c r="E627" s="98"/>
    </row>
    <row r="628" spans="5:5" x14ac:dyDescent="0.25">
      <c r="E628" s="98"/>
    </row>
    <row r="629" spans="5:5" x14ac:dyDescent="0.25">
      <c r="E629" s="98"/>
    </row>
    <row r="630" spans="5:5" x14ac:dyDescent="0.25">
      <c r="E630" s="98"/>
    </row>
    <row r="631" spans="5:5" x14ac:dyDescent="0.25">
      <c r="E631" s="98"/>
    </row>
    <row r="632" spans="5:5" x14ac:dyDescent="0.25">
      <c r="E632" s="98"/>
    </row>
    <row r="633" spans="5:5" x14ac:dyDescent="0.25">
      <c r="E633" s="98"/>
    </row>
    <row r="634" spans="5:5" x14ac:dyDescent="0.25">
      <c r="E634" s="98"/>
    </row>
    <row r="635" spans="5:5" x14ac:dyDescent="0.25">
      <c r="E635" s="98"/>
    </row>
    <row r="636" spans="5:5" x14ac:dyDescent="0.25">
      <c r="E636" s="98"/>
    </row>
    <row r="637" spans="5:5" x14ac:dyDescent="0.25">
      <c r="E637" s="98"/>
    </row>
    <row r="638" spans="5:5" x14ac:dyDescent="0.25">
      <c r="E638" s="98"/>
    </row>
    <row r="639" spans="5:5" x14ac:dyDescent="0.25">
      <c r="E639" s="98"/>
    </row>
    <row r="640" spans="5:5" x14ac:dyDescent="0.25">
      <c r="E640" s="98"/>
    </row>
    <row r="641" spans="5:5" x14ac:dyDescent="0.25">
      <c r="E641" s="98"/>
    </row>
    <row r="642" spans="5:5" x14ac:dyDescent="0.25">
      <c r="E642" s="98"/>
    </row>
    <row r="643" spans="5:5" x14ac:dyDescent="0.25">
      <c r="E643" s="98"/>
    </row>
    <row r="644" spans="5:5" x14ac:dyDescent="0.25">
      <c r="E644" s="98"/>
    </row>
    <row r="645" spans="5:5" x14ac:dyDescent="0.25">
      <c r="E645" s="98"/>
    </row>
    <row r="646" spans="5:5" x14ac:dyDescent="0.25">
      <c r="E646" s="98"/>
    </row>
    <row r="647" spans="5:5" x14ac:dyDescent="0.25">
      <c r="E647" s="98"/>
    </row>
    <row r="648" spans="5:5" x14ac:dyDescent="0.25">
      <c r="E648" s="98"/>
    </row>
    <row r="649" spans="5:5" x14ac:dyDescent="0.25">
      <c r="E649" s="98"/>
    </row>
    <row r="650" spans="5:5" x14ac:dyDescent="0.25">
      <c r="E650" s="98"/>
    </row>
    <row r="651" spans="5:5" x14ac:dyDescent="0.25">
      <c r="E651" s="98"/>
    </row>
    <row r="652" spans="5:5" x14ac:dyDescent="0.25">
      <c r="E652" s="98"/>
    </row>
    <row r="653" spans="5:5" x14ac:dyDescent="0.25">
      <c r="E653" s="98"/>
    </row>
    <row r="654" spans="5:5" x14ac:dyDescent="0.25">
      <c r="E654" s="98"/>
    </row>
    <row r="655" spans="5:5" x14ac:dyDescent="0.25">
      <c r="E655" s="98"/>
    </row>
    <row r="656" spans="5:5" x14ac:dyDescent="0.25">
      <c r="E656" s="98"/>
    </row>
    <row r="657" spans="5:5" x14ac:dyDescent="0.25">
      <c r="E657" s="98"/>
    </row>
    <row r="658" spans="5:5" x14ac:dyDescent="0.25">
      <c r="E658" s="98"/>
    </row>
    <row r="659" spans="5:5" x14ac:dyDescent="0.25">
      <c r="E659" s="98"/>
    </row>
    <row r="660" spans="5:5" x14ac:dyDescent="0.25">
      <c r="E660" s="98"/>
    </row>
    <row r="661" spans="5:5" x14ac:dyDescent="0.25">
      <c r="E661" s="98"/>
    </row>
    <row r="662" spans="5:5" x14ac:dyDescent="0.25">
      <c r="E662" s="98"/>
    </row>
    <row r="663" spans="5:5" x14ac:dyDescent="0.25">
      <c r="E663" s="98"/>
    </row>
    <row r="664" spans="5:5" x14ac:dyDescent="0.25">
      <c r="E664" s="98"/>
    </row>
    <row r="665" spans="5:5" x14ac:dyDescent="0.25">
      <c r="E665" s="98"/>
    </row>
    <row r="666" spans="5:5" x14ac:dyDescent="0.25">
      <c r="E666" s="98"/>
    </row>
    <row r="667" spans="5:5" x14ac:dyDescent="0.25">
      <c r="E667" s="98"/>
    </row>
    <row r="668" spans="5:5" x14ac:dyDescent="0.25">
      <c r="E668" s="98"/>
    </row>
    <row r="669" spans="5:5" x14ac:dyDescent="0.25">
      <c r="E669" s="98"/>
    </row>
    <row r="670" spans="5:5" x14ac:dyDescent="0.25">
      <c r="E670" s="98"/>
    </row>
    <row r="671" spans="5:5" x14ac:dyDescent="0.25">
      <c r="E671" s="98"/>
    </row>
    <row r="672" spans="5:5" x14ac:dyDescent="0.25">
      <c r="E672" s="98"/>
    </row>
    <row r="673" spans="5:5" x14ac:dyDescent="0.25">
      <c r="E673" s="98"/>
    </row>
    <row r="674" spans="5:5" x14ac:dyDescent="0.25">
      <c r="E674" s="98"/>
    </row>
    <row r="675" spans="5:5" x14ac:dyDescent="0.25">
      <c r="E675" s="98"/>
    </row>
    <row r="676" spans="5:5" x14ac:dyDescent="0.25">
      <c r="E676" s="98"/>
    </row>
    <row r="677" spans="5:5" x14ac:dyDescent="0.25">
      <c r="E677" s="98"/>
    </row>
    <row r="678" spans="5:5" x14ac:dyDescent="0.25">
      <c r="E678" s="98"/>
    </row>
    <row r="679" spans="5:5" x14ac:dyDescent="0.25">
      <c r="E679" s="98"/>
    </row>
    <row r="680" spans="5:5" x14ac:dyDescent="0.25">
      <c r="E680" s="98"/>
    </row>
    <row r="681" spans="5:5" x14ac:dyDescent="0.25">
      <c r="E681" s="98"/>
    </row>
    <row r="682" spans="5:5" x14ac:dyDescent="0.25">
      <c r="E682" s="98"/>
    </row>
    <row r="683" spans="5:5" x14ac:dyDescent="0.25">
      <c r="E683" s="98"/>
    </row>
    <row r="684" spans="5:5" x14ac:dyDescent="0.25">
      <c r="E684" s="98"/>
    </row>
    <row r="685" spans="5:5" x14ac:dyDescent="0.25">
      <c r="E685" s="98"/>
    </row>
    <row r="686" spans="5:5" x14ac:dyDescent="0.25">
      <c r="E686" s="98"/>
    </row>
    <row r="687" spans="5:5" x14ac:dyDescent="0.25">
      <c r="E687" s="98"/>
    </row>
    <row r="688" spans="5:5" x14ac:dyDescent="0.25">
      <c r="E688" s="98"/>
    </row>
    <row r="689" spans="5:5" x14ac:dyDescent="0.25">
      <c r="E689" s="98"/>
    </row>
    <row r="690" spans="5:5" x14ac:dyDescent="0.25">
      <c r="E690" s="98"/>
    </row>
    <row r="691" spans="5:5" x14ac:dyDescent="0.25">
      <c r="E691" s="98"/>
    </row>
    <row r="692" spans="5:5" x14ac:dyDescent="0.25">
      <c r="E692" s="98"/>
    </row>
    <row r="693" spans="5:5" x14ac:dyDescent="0.25">
      <c r="E693" s="98"/>
    </row>
    <row r="694" spans="5:5" x14ac:dyDescent="0.25">
      <c r="E694" s="98"/>
    </row>
    <row r="695" spans="5:5" x14ac:dyDescent="0.25">
      <c r="E695" s="98"/>
    </row>
    <row r="696" spans="5:5" x14ac:dyDescent="0.25">
      <c r="E696" s="98"/>
    </row>
    <row r="697" spans="5:5" x14ac:dyDescent="0.25">
      <c r="E697" s="98"/>
    </row>
    <row r="698" spans="5:5" x14ac:dyDescent="0.25">
      <c r="E698" s="98"/>
    </row>
    <row r="699" spans="5:5" x14ac:dyDescent="0.25">
      <c r="E699" s="98"/>
    </row>
    <row r="700" spans="5:5" x14ac:dyDescent="0.25">
      <c r="E700" s="98"/>
    </row>
    <row r="701" spans="5:5" x14ac:dyDescent="0.25">
      <c r="E701" s="98"/>
    </row>
    <row r="702" spans="5:5" x14ac:dyDescent="0.25">
      <c r="E702" s="98"/>
    </row>
    <row r="703" spans="5:5" x14ac:dyDescent="0.25">
      <c r="E703" s="98"/>
    </row>
    <row r="704" spans="5:5" x14ac:dyDescent="0.25">
      <c r="E704" s="98"/>
    </row>
  </sheetData>
  <phoneticPr fontId="2" type="noConversion"/>
  <conditionalFormatting sqref="C249:C1048576 C1:C242">
    <cfRule type="cellIs" dxfId="25" priority="17" operator="equal">
      <formula>2024</formula>
    </cfRule>
  </conditionalFormatting>
  <conditionalFormatting sqref="C14 C249:C1048576">
    <cfRule type="cellIs" dxfId="24" priority="18" operator="equal">
      <formula>2022</formula>
    </cfRule>
    <cfRule type="cellIs" dxfId="23" priority="19" operator="equal">
      <formula>2023</formula>
    </cfRule>
  </conditionalFormatting>
  <conditionalFormatting sqref="M1:M1048576">
    <cfRule type="cellIs" dxfId="22" priority="15" operator="equal">
      <formula>1</formula>
    </cfRule>
  </conditionalFormatting>
  <conditionalFormatting sqref="N1:N1048576">
    <cfRule type="cellIs" dxfId="21" priority="14" operator="equal">
      <formula>1</formula>
    </cfRule>
  </conditionalFormatting>
  <conditionalFormatting sqref="O1:O1048576">
    <cfRule type="cellIs" dxfId="20" priority="13" operator="equal">
      <formula>1</formula>
    </cfRule>
  </conditionalFormatting>
  <conditionalFormatting sqref="T15:T30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30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5:AA3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5:AB29">
    <cfRule type="colorScale" priority="5">
      <colorScale>
        <cfvo type="min"/>
        <cfvo type="max"/>
        <color rgb="FFFCFCFF"/>
        <color rgb="FF63BE7B"/>
      </colorScale>
    </cfRule>
  </conditionalFormatting>
  <conditionalFormatting sqref="AB15:AB3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5:AC30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1:AE1048576">
    <cfRule type="duplicateValues" dxfId="19" priority="8"/>
    <cfRule type="duplicateValues" dxfId="18" priority="11"/>
  </conditionalFormatting>
  <conditionalFormatting sqref="AM15:AM105">
    <cfRule type="colorScale" priority="1">
      <colorScale>
        <cfvo type="min"/>
        <cfvo type="max"/>
        <color rgb="FFFCFCFF"/>
        <color rgb="FF63BE7B"/>
      </colorScale>
    </cfRule>
  </conditionalFormatting>
  <conditionalFormatting sqref="AN15:AN105">
    <cfRule type="colorScale" priority="2">
      <colorScale>
        <cfvo type="min"/>
        <cfvo type="max"/>
        <color rgb="FFFCFCFF"/>
        <color rgb="FFF8696B"/>
      </colorScale>
    </cfRule>
  </conditionalFormatting>
  <conditionalFormatting sqref="AO15:AO105">
    <cfRule type="colorScale" priority="3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  <tableParts count="3">
    <tablePart r:id="rId2"/>
    <tablePart r:id="rId3"/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FB30-F0A7-4E91-8E6D-B686D450D548}">
  <dimension ref="A1:U219"/>
  <sheetViews>
    <sheetView topLeftCell="A171" workbookViewId="0">
      <selection activeCell="F190" sqref="F190"/>
    </sheetView>
  </sheetViews>
  <sheetFormatPr defaultColWidth="9" defaultRowHeight="10.8" x14ac:dyDescent="0.25"/>
  <cols>
    <col min="1" max="2" width="6.42578125" style="11" customWidth="1"/>
    <col min="3" max="3" width="6.42578125" style="12" customWidth="1"/>
    <col min="4" max="4" width="23.42578125" style="11" customWidth="1"/>
    <col min="5" max="12" width="8.42578125" style="11" customWidth="1"/>
    <col min="13" max="13" width="2" style="11" customWidth="1"/>
    <col min="14" max="17" width="8.42578125" style="11" customWidth="1"/>
    <col min="18" max="18" width="2.42578125" style="11" customWidth="1"/>
    <col min="19" max="16384" width="9" style="11"/>
  </cols>
  <sheetData>
    <row r="1" spans="1:17" x14ac:dyDescent="0.25">
      <c r="A1" s="29"/>
      <c r="B1" s="29"/>
      <c r="C1" s="30"/>
      <c r="D1" s="31"/>
      <c r="E1" s="32" t="s">
        <v>351</v>
      </c>
      <c r="F1" s="32" t="s">
        <v>236</v>
      </c>
      <c r="G1" s="32" t="s">
        <v>237</v>
      </c>
      <c r="H1" s="32" t="s">
        <v>238</v>
      </c>
      <c r="I1" s="32" t="s">
        <v>247</v>
      </c>
      <c r="J1" s="32" t="s">
        <v>248</v>
      </c>
      <c r="K1" s="32" t="s">
        <v>241</v>
      </c>
      <c r="L1" s="32" t="s">
        <v>352</v>
      </c>
      <c r="M1" s="33"/>
      <c r="N1" s="32" t="s">
        <v>353</v>
      </c>
      <c r="O1" s="32" t="s">
        <v>354</v>
      </c>
      <c r="P1" s="32" t="s">
        <v>355</v>
      </c>
      <c r="Q1" s="32" t="s">
        <v>356</v>
      </c>
    </row>
    <row r="2" spans="1:17" x14ac:dyDescent="0.25">
      <c r="A2" s="138">
        <v>2010</v>
      </c>
      <c r="B2" s="143" t="s">
        <v>357</v>
      </c>
      <c r="C2" s="34">
        <v>1</v>
      </c>
      <c r="D2" s="35" t="s">
        <v>330</v>
      </c>
      <c r="E2" s="36">
        <v>22</v>
      </c>
      <c r="F2" s="36">
        <v>16</v>
      </c>
      <c r="G2" s="36">
        <v>3</v>
      </c>
      <c r="H2" s="36">
        <v>3</v>
      </c>
      <c r="I2" s="36">
        <v>62</v>
      </c>
      <c r="J2" s="36">
        <v>24</v>
      </c>
      <c r="K2" s="36">
        <v>38</v>
      </c>
      <c r="L2" s="37">
        <v>51</v>
      </c>
      <c r="M2" s="33"/>
      <c r="N2" s="34">
        <v>2.8</v>
      </c>
      <c r="O2" s="34">
        <v>1.1000000000000001</v>
      </c>
      <c r="P2" s="34">
        <v>1.7</v>
      </c>
      <c r="Q2" s="34">
        <v>2.2999999999999998</v>
      </c>
    </row>
    <row r="3" spans="1:17" x14ac:dyDescent="0.25">
      <c r="A3" s="139"/>
      <c r="B3" s="144"/>
      <c r="C3" s="34">
        <v>2</v>
      </c>
      <c r="D3" s="35" t="s">
        <v>358</v>
      </c>
      <c r="E3" s="36">
        <v>22</v>
      </c>
      <c r="F3" s="36">
        <v>16</v>
      </c>
      <c r="G3" s="36">
        <v>0</v>
      </c>
      <c r="H3" s="36">
        <v>6</v>
      </c>
      <c r="I3" s="36">
        <v>53</v>
      </c>
      <c r="J3" s="36">
        <v>27</v>
      </c>
      <c r="K3" s="36">
        <v>26</v>
      </c>
      <c r="L3" s="37">
        <v>48</v>
      </c>
      <c r="M3" s="33"/>
      <c r="N3" s="34">
        <v>2.4</v>
      </c>
      <c r="O3" s="34">
        <v>1.2</v>
      </c>
      <c r="P3" s="34">
        <v>1.2</v>
      </c>
      <c r="Q3" s="34">
        <v>2.2000000000000002</v>
      </c>
    </row>
    <row r="4" spans="1:17" x14ac:dyDescent="0.25">
      <c r="A4" s="139"/>
      <c r="B4" s="144"/>
      <c r="C4" s="34">
        <v>3</v>
      </c>
      <c r="D4" s="35" t="s">
        <v>256</v>
      </c>
      <c r="E4" s="36">
        <v>22</v>
      </c>
      <c r="F4" s="36">
        <v>13</v>
      </c>
      <c r="G4" s="36">
        <v>3</v>
      </c>
      <c r="H4" s="36">
        <v>6</v>
      </c>
      <c r="I4" s="36">
        <v>47</v>
      </c>
      <c r="J4" s="36">
        <v>27</v>
      </c>
      <c r="K4" s="36">
        <v>20</v>
      </c>
      <c r="L4" s="37">
        <v>42</v>
      </c>
      <c r="M4" s="33"/>
      <c r="N4" s="34">
        <v>2.1</v>
      </c>
      <c r="O4" s="34">
        <v>1.2</v>
      </c>
      <c r="P4" s="34">
        <v>0.9</v>
      </c>
      <c r="Q4" s="34">
        <v>1.9</v>
      </c>
    </row>
    <row r="5" spans="1:17" x14ac:dyDescent="0.25">
      <c r="A5" s="139"/>
      <c r="B5" s="144"/>
      <c r="C5" s="34">
        <v>4</v>
      </c>
      <c r="D5" s="35" t="s">
        <v>274</v>
      </c>
      <c r="E5" s="36">
        <v>22</v>
      </c>
      <c r="F5" s="36">
        <v>11</v>
      </c>
      <c r="G5" s="36">
        <v>5</v>
      </c>
      <c r="H5" s="36">
        <v>6</v>
      </c>
      <c r="I5" s="36">
        <v>39</v>
      </c>
      <c r="J5" s="36">
        <v>30</v>
      </c>
      <c r="K5" s="36">
        <v>9</v>
      </c>
      <c r="L5" s="37">
        <v>38</v>
      </c>
      <c r="M5" s="33"/>
      <c r="N5" s="34">
        <v>1.8</v>
      </c>
      <c r="O5" s="34">
        <v>1.4</v>
      </c>
      <c r="P5" s="34">
        <v>0.4</v>
      </c>
      <c r="Q5" s="34">
        <v>1.7</v>
      </c>
    </row>
    <row r="6" spans="1:17" x14ac:dyDescent="0.25">
      <c r="A6" s="139"/>
      <c r="B6" s="144"/>
      <c r="C6" s="34">
        <v>5</v>
      </c>
      <c r="D6" s="35" t="s">
        <v>359</v>
      </c>
      <c r="E6" s="36">
        <v>22</v>
      </c>
      <c r="F6" s="36">
        <v>10</v>
      </c>
      <c r="G6" s="36">
        <v>6</v>
      </c>
      <c r="H6" s="36">
        <v>6</v>
      </c>
      <c r="I6" s="36">
        <v>29</v>
      </c>
      <c r="J6" s="36">
        <v>27</v>
      </c>
      <c r="K6" s="36">
        <v>2</v>
      </c>
      <c r="L6" s="37">
        <v>36</v>
      </c>
      <c r="M6" s="33"/>
      <c r="N6" s="34">
        <v>1.3</v>
      </c>
      <c r="O6" s="34">
        <v>1.2</v>
      </c>
      <c r="P6" s="34">
        <v>0.1</v>
      </c>
      <c r="Q6" s="34">
        <v>1.6</v>
      </c>
    </row>
    <row r="7" spans="1:17" x14ac:dyDescent="0.25">
      <c r="A7" s="139"/>
      <c r="B7" s="144"/>
      <c r="C7" s="34">
        <v>6</v>
      </c>
      <c r="D7" s="35" t="s">
        <v>360</v>
      </c>
      <c r="E7" s="36">
        <v>22</v>
      </c>
      <c r="F7" s="36">
        <v>9</v>
      </c>
      <c r="G7" s="36">
        <v>4</v>
      </c>
      <c r="H7" s="36">
        <v>9</v>
      </c>
      <c r="I7" s="36">
        <v>37</v>
      </c>
      <c r="J7" s="36">
        <v>33</v>
      </c>
      <c r="K7" s="36">
        <v>4</v>
      </c>
      <c r="L7" s="37">
        <v>31</v>
      </c>
      <c r="M7" s="33"/>
      <c r="N7" s="34">
        <v>1.7</v>
      </c>
      <c r="O7" s="34">
        <v>1.5</v>
      </c>
      <c r="P7" s="34">
        <v>0.2</v>
      </c>
      <c r="Q7" s="34">
        <v>1.4</v>
      </c>
    </row>
    <row r="8" spans="1:17" x14ac:dyDescent="0.25">
      <c r="A8" s="139"/>
      <c r="B8" s="144"/>
      <c r="C8" s="38">
        <v>7</v>
      </c>
      <c r="D8" s="39" t="s">
        <v>254</v>
      </c>
      <c r="E8" s="40">
        <v>22</v>
      </c>
      <c r="F8" s="40">
        <v>10</v>
      </c>
      <c r="G8" s="40">
        <v>1</v>
      </c>
      <c r="H8" s="40">
        <v>11</v>
      </c>
      <c r="I8" s="40">
        <v>40</v>
      </c>
      <c r="J8" s="40">
        <v>45</v>
      </c>
      <c r="K8" s="41">
        <v>-5</v>
      </c>
      <c r="L8" s="42">
        <v>31</v>
      </c>
      <c r="M8" s="43"/>
      <c r="N8" s="38">
        <v>1.8</v>
      </c>
      <c r="O8" s="38">
        <v>2</v>
      </c>
      <c r="P8" s="44">
        <v>-0.2</v>
      </c>
      <c r="Q8" s="38">
        <v>1.4</v>
      </c>
    </row>
    <row r="9" spans="1:17" x14ac:dyDescent="0.25">
      <c r="A9" s="139"/>
      <c r="B9" s="144"/>
      <c r="C9" s="34">
        <v>8</v>
      </c>
      <c r="D9" s="35" t="s">
        <v>270</v>
      </c>
      <c r="E9" s="36">
        <v>22</v>
      </c>
      <c r="F9" s="36">
        <v>9</v>
      </c>
      <c r="G9" s="36">
        <v>1</v>
      </c>
      <c r="H9" s="36">
        <v>12</v>
      </c>
      <c r="I9" s="36">
        <v>34</v>
      </c>
      <c r="J9" s="36">
        <v>42</v>
      </c>
      <c r="K9" s="45">
        <v>-8</v>
      </c>
      <c r="L9" s="37">
        <v>28</v>
      </c>
      <c r="M9" s="33"/>
      <c r="N9" s="34">
        <v>1.5</v>
      </c>
      <c r="O9" s="34">
        <v>1.9</v>
      </c>
      <c r="P9" s="46">
        <v>-0.4</v>
      </c>
      <c r="Q9" s="34">
        <v>1.3</v>
      </c>
    </row>
    <row r="10" spans="1:17" x14ac:dyDescent="0.25">
      <c r="A10" s="139"/>
      <c r="B10" s="144"/>
      <c r="C10" s="34">
        <v>9</v>
      </c>
      <c r="D10" s="35" t="s">
        <v>258</v>
      </c>
      <c r="E10" s="36">
        <v>22</v>
      </c>
      <c r="F10" s="36">
        <v>8</v>
      </c>
      <c r="G10" s="36">
        <v>3</v>
      </c>
      <c r="H10" s="36">
        <v>11</v>
      </c>
      <c r="I10" s="36">
        <v>37</v>
      </c>
      <c r="J10" s="36">
        <v>49</v>
      </c>
      <c r="K10" s="45">
        <v>-12</v>
      </c>
      <c r="L10" s="37">
        <v>27</v>
      </c>
      <c r="M10" s="33"/>
      <c r="N10" s="34">
        <v>1.7</v>
      </c>
      <c r="O10" s="34">
        <v>2.2000000000000002</v>
      </c>
      <c r="P10" s="46">
        <v>-0.5</v>
      </c>
      <c r="Q10" s="34">
        <v>1.2</v>
      </c>
    </row>
    <row r="11" spans="1:17" x14ac:dyDescent="0.25">
      <c r="A11" s="139"/>
      <c r="B11" s="144"/>
      <c r="C11" s="34">
        <v>10</v>
      </c>
      <c r="D11" s="35" t="s">
        <v>268</v>
      </c>
      <c r="E11" s="36">
        <v>22</v>
      </c>
      <c r="F11" s="36">
        <v>6</v>
      </c>
      <c r="G11" s="36">
        <v>3</v>
      </c>
      <c r="H11" s="36">
        <v>13</v>
      </c>
      <c r="I11" s="36">
        <v>30</v>
      </c>
      <c r="J11" s="36">
        <v>41</v>
      </c>
      <c r="K11" s="45">
        <v>-11</v>
      </c>
      <c r="L11" s="37">
        <v>21</v>
      </c>
      <c r="M11" s="33"/>
      <c r="N11" s="34">
        <v>1.4</v>
      </c>
      <c r="O11" s="34">
        <v>1.9</v>
      </c>
      <c r="P11" s="46">
        <v>-0.5</v>
      </c>
      <c r="Q11" s="34">
        <v>1</v>
      </c>
    </row>
    <row r="12" spans="1:17" x14ac:dyDescent="0.25">
      <c r="A12" s="139"/>
      <c r="B12" s="144"/>
      <c r="C12" s="34">
        <v>11</v>
      </c>
      <c r="D12" s="35" t="s">
        <v>309</v>
      </c>
      <c r="E12" s="36">
        <v>22</v>
      </c>
      <c r="F12" s="36">
        <v>5</v>
      </c>
      <c r="G12" s="36">
        <v>3</v>
      </c>
      <c r="H12" s="36">
        <v>14</v>
      </c>
      <c r="I12" s="36">
        <v>33</v>
      </c>
      <c r="J12" s="36">
        <v>55</v>
      </c>
      <c r="K12" s="45">
        <v>-22</v>
      </c>
      <c r="L12" s="37">
        <v>18</v>
      </c>
      <c r="M12" s="33"/>
      <c r="N12" s="34">
        <v>1.5</v>
      </c>
      <c r="O12" s="34">
        <v>2.5</v>
      </c>
      <c r="P12" s="46">
        <v>-1</v>
      </c>
      <c r="Q12" s="34">
        <v>0.8</v>
      </c>
    </row>
    <row r="13" spans="1:17" x14ac:dyDescent="0.25">
      <c r="A13" s="142"/>
      <c r="B13" s="145"/>
      <c r="C13" s="34">
        <v>12</v>
      </c>
      <c r="D13" s="35" t="s">
        <v>319</v>
      </c>
      <c r="E13" s="36">
        <v>22</v>
      </c>
      <c r="F13" s="36">
        <v>2</v>
      </c>
      <c r="G13" s="36">
        <v>2</v>
      </c>
      <c r="H13" s="36">
        <v>18</v>
      </c>
      <c r="I13" s="36">
        <v>22</v>
      </c>
      <c r="J13" s="36">
        <v>63</v>
      </c>
      <c r="K13" s="45">
        <v>-41</v>
      </c>
      <c r="L13" s="37">
        <v>8</v>
      </c>
      <c r="M13" s="33"/>
      <c r="N13" s="34">
        <v>1</v>
      </c>
      <c r="O13" s="34">
        <v>2.9</v>
      </c>
      <c r="P13" s="46">
        <v>-1.9</v>
      </c>
      <c r="Q13" s="34">
        <v>0.4</v>
      </c>
    </row>
    <row r="14" spans="1:17" x14ac:dyDescent="0.25">
      <c r="A14" s="47"/>
      <c r="B14" s="47"/>
      <c r="C14" s="48"/>
      <c r="D14" s="47"/>
      <c r="E14" s="49"/>
      <c r="F14" s="49"/>
      <c r="G14" s="49"/>
      <c r="H14" s="49"/>
      <c r="I14" s="49"/>
      <c r="J14" s="49"/>
      <c r="K14" s="49"/>
      <c r="L14" s="49"/>
      <c r="M14" s="50"/>
      <c r="N14" s="51"/>
      <c r="O14" s="51"/>
      <c r="P14" s="51"/>
      <c r="Q14" s="51"/>
    </row>
    <row r="15" spans="1:17" x14ac:dyDescent="0.25">
      <c r="A15" s="29"/>
      <c r="B15" s="29"/>
      <c r="C15" s="30"/>
      <c r="D15" s="31"/>
      <c r="E15" s="32" t="s">
        <v>351</v>
      </c>
      <c r="F15" s="32" t="s">
        <v>236</v>
      </c>
      <c r="G15" s="32" t="s">
        <v>237</v>
      </c>
      <c r="H15" s="32" t="s">
        <v>238</v>
      </c>
      <c r="I15" s="32" t="s">
        <v>247</v>
      </c>
      <c r="J15" s="32" t="s">
        <v>248</v>
      </c>
      <c r="K15" s="32" t="s">
        <v>241</v>
      </c>
      <c r="L15" s="32" t="s">
        <v>352</v>
      </c>
      <c r="M15" s="33"/>
      <c r="N15" s="32" t="s">
        <v>353</v>
      </c>
      <c r="O15" s="32" t="s">
        <v>354</v>
      </c>
      <c r="P15" s="32" t="s">
        <v>355</v>
      </c>
      <c r="Q15" s="32" t="s">
        <v>356</v>
      </c>
    </row>
    <row r="16" spans="1:17" x14ac:dyDescent="0.25">
      <c r="A16" s="138">
        <v>2011</v>
      </c>
      <c r="B16" s="143" t="s">
        <v>361</v>
      </c>
      <c r="C16" s="34">
        <v>1</v>
      </c>
      <c r="D16" s="35" t="s">
        <v>253</v>
      </c>
      <c r="E16" s="36">
        <v>22</v>
      </c>
      <c r="F16" s="36">
        <v>16</v>
      </c>
      <c r="G16" s="36">
        <v>5</v>
      </c>
      <c r="H16" s="36">
        <v>1</v>
      </c>
      <c r="I16" s="36">
        <v>52</v>
      </c>
      <c r="J16" s="36">
        <v>18</v>
      </c>
      <c r="K16" s="36">
        <v>34</v>
      </c>
      <c r="L16" s="37">
        <v>53</v>
      </c>
      <c r="M16" s="33"/>
      <c r="N16" s="34">
        <v>2.4</v>
      </c>
      <c r="O16" s="34">
        <v>0.8</v>
      </c>
      <c r="P16" s="34">
        <v>1.5</v>
      </c>
      <c r="Q16" s="34">
        <v>2.4</v>
      </c>
    </row>
    <row r="17" spans="1:17" x14ac:dyDescent="0.25">
      <c r="A17" s="139"/>
      <c r="B17" s="144"/>
      <c r="C17" s="34">
        <v>2</v>
      </c>
      <c r="D17" s="35" t="s">
        <v>274</v>
      </c>
      <c r="E17" s="36">
        <v>22</v>
      </c>
      <c r="F17" s="36">
        <v>15</v>
      </c>
      <c r="G17" s="36">
        <v>1</v>
      </c>
      <c r="H17" s="36">
        <v>6</v>
      </c>
      <c r="I17" s="36">
        <v>47</v>
      </c>
      <c r="J17" s="36">
        <v>19</v>
      </c>
      <c r="K17" s="36">
        <v>28</v>
      </c>
      <c r="L17" s="37">
        <v>46</v>
      </c>
      <c r="M17" s="33"/>
      <c r="N17" s="34">
        <v>2.1</v>
      </c>
      <c r="O17" s="34">
        <v>0.9</v>
      </c>
      <c r="P17" s="34">
        <v>1.3</v>
      </c>
      <c r="Q17" s="34">
        <v>2.1</v>
      </c>
    </row>
    <row r="18" spans="1:17" x14ac:dyDescent="0.25">
      <c r="A18" s="139"/>
      <c r="B18" s="144"/>
      <c r="C18" s="34">
        <v>3</v>
      </c>
      <c r="D18" s="35" t="s">
        <v>272</v>
      </c>
      <c r="E18" s="36">
        <v>22</v>
      </c>
      <c r="F18" s="36">
        <v>13</v>
      </c>
      <c r="G18" s="36">
        <v>5</v>
      </c>
      <c r="H18" s="36">
        <v>4</v>
      </c>
      <c r="I18" s="36">
        <v>52</v>
      </c>
      <c r="J18" s="36">
        <v>34</v>
      </c>
      <c r="K18" s="36">
        <v>18</v>
      </c>
      <c r="L18" s="37">
        <v>44</v>
      </c>
      <c r="M18" s="33"/>
      <c r="N18" s="34">
        <v>2.4</v>
      </c>
      <c r="O18" s="34">
        <v>1.5</v>
      </c>
      <c r="P18" s="34">
        <v>0.8</v>
      </c>
      <c r="Q18" s="34">
        <v>2</v>
      </c>
    </row>
    <row r="19" spans="1:17" x14ac:dyDescent="0.25">
      <c r="A19" s="139"/>
      <c r="B19" s="144"/>
      <c r="C19" s="34">
        <v>4</v>
      </c>
      <c r="D19" s="35" t="s">
        <v>256</v>
      </c>
      <c r="E19" s="36">
        <v>22</v>
      </c>
      <c r="F19" s="36">
        <v>11</v>
      </c>
      <c r="G19" s="36">
        <v>4</v>
      </c>
      <c r="H19" s="36">
        <v>7</v>
      </c>
      <c r="I19" s="36">
        <v>44</v>
      </c>
      <c r="J19" s="36">
        <v>29</v>
      </c>
      <c r="K19" s="36">
        <v>15</v>
      </c>
      <c r="L19" s="37">
        <v>37</v>
      </c>
      <c r="M19" s="33"/>
      <c r="N19" s="34">
        <v>2</v>
      </c>
      <c r="O19" s="34">
        <v>1.3</v>
      </c>
      <c r="P19" s="34">
        <v>0.7</v>
      </c>
      <c r="Q19" s="34">
        <v>1.7</v>
      </c>
    </row>
    <row r="20" spans="1:17" x14ac:dyDescent="0.25">
      <c r="A20" s="139"/>
      <c r="B20" s="144"/>
      <c r="C20" s="34">
        <v>5</v>
      </c>
      <c r="D20" s="35" t="s">
        <v>264</v>
      </c>
      <c r="E20" s="36">
        <v>22</v>
      </c>
      <c r="F20" s="36">
        <v>7</v>
      </c>
      <c r="G20" s="36">
        <v>7</v>
      </c>
      <c r="H20" s="36">
        <v>8</v>
      </c>
      <c r="I20" s="36">
        <v>39</v>
      </c>
      <c r="J20" s="36">
        <v>41</v>
      </c>
      <c r="K20" s="45">
        <v>-2</v>
      </c>
      <c r="L20" s="37">
        <v>28</v>
      </c>
      <c r="M20" s="33"/>
      <c r="N20" s="34">
        <v>1.8</v>
      </c>
      <c r="O20" s="34">
        <v>1.9</v>
      </c>
      <c r="P20" s="46">
        <v>-0.1</v>
      </c>
      <c r="Q20" s="34">
        <v>1.3</v>
      </c>
    </row>
    <row r="21" spans="1:17" x14ac:dyDescent="0.25">
      <c r="A21" s="139"/>
      <c r="B21" s="144"/>
      <c r="C21" s="34">
        <v>6</v>
      </c>
      <c r="D21" s="35" t="s">
        <v>270</v>
      </c>
      <c r="E21" s="36">
        <v>22</v>
      </c>
      <c r="F21" s="36">
        <v>7</v>
      </c>
      <c r="G21" s="36">
        <v>6</v>
      </c>
      <c r="H21" s="36">
        <v>9</v>
      </c>
      <c r="I21" s="36">
        <v>33</v>
      </c>
      <c r="J21" s="36">
        <v>39</v>
      </c>
      <c r="K21" s="45">
        <v>-6</v>
      </c>
      <c r="L21" s="37">
        <v>27</v>
      </c>
      <c r="M21" s="33"/>
      <c r="N21" s="34">
        <v>1.5</v>
      </c>
      <c r="O21" s="34">
        <v>1.8</v>
      </c>
      <c r="P21" s="46">
        <v>-0.3</v>
      </c>
      <c r="Q21" s="34">
        <v>1.2</v>
      </c>
    </row>
    <row r="22" spans="1:17" x14ac:dyDescent="0.25">
      <c r="A22" s="139"/>
      <c r="B22" s="144"/>
      <c r="C22" s="34">
        <v>7</v>
      </c>
      <c r="D22" s="35" t="s">
        <v>260</v>
      </c>
      <c r="E22" s="36">
        <v>22</v>
      </c>
      <c r="F22" s="36">
        <v>7</v>
      </c>
      <c r="G22" s="36">
        <v>6</v>
      </c>
      <c r="H22" s="36">
        <v>9</v>
      </c>
      <c r="I22" s="36">
        <v>27</v>
      </c>
      <c r="J22" s="36">
        <v>41</v>
      </c>
      <c r="K22" s="45">
        <v>-14</v>
      </c>
      <c r="L22" s="37">
        <v>27</v>
      </c>
      <c r="M22" s="33"/>
      <c r="N22" s="34">
        <v>1.2</v>
      </c>
      <c r="O22" s="34">
        <v>1.9</v>
      </c>
      <c r="P22" s="46">
        <v>-0.6</v>
      </c>
      <c r="Q22" s="34">
        <v>1.2</v>
      </c>
    </row>
    <row r="23" spans="1:17" x14ac:dyDescent="0.25">
      <c r="A23" s="139"/>
      <c r="B23" s="144"/>
      <c r="C23" s="34">
        <v>8</v>
      </c>
      <c r="D23" s="35" t="s">
        <v>258</v>
      </c>
      <c r="E23" s="36">
        <v>22</v>
      </c>
      <c r="F23" s="36">
        <v>7</v>
      </c>
      <c r="G23" s="36">
        <v>3</v>
      </c>
      <c r="H23" s="36">
        <v>12</v>
      </c>
      <c r="I23" s="36">
        <v>39</v>
      </c>
      <c r="J23" s="36">
        <v>43</v>
      </c>
      <c r="K23" s="45">
        <v>-4</v>
      </c>
      <c r="L23" s="37">
        <v>24</v>
      </c>
      <c r="M23" s="33"/>
      <c r="N23" s="34">
        <v>1.8</v>
      </c>
      <c r="O23" s="34">
        <v>2</v>
      </c>
      <c r="P23" s="46">
        <v>-0.2</v>
      </c>
      <c r="Q23" s="34">
        <v>1.1000000000000001</v>
      </c>
    </row>
    <row r="24" spans="1:17" x14ac:dyDescent="0.25">
      <c r="A24" s="139"/>
      <c r="B24" s="144"/>
      <c r="C24" s="34">
        <v>9</v>
      </c>
      <c r="D24" s="35" t="s">
        <v>268</v>
      </c>
      <c r="E24" s="36">
        <v>22</v>
      </c>
      <c r="F24" s="36">
        <v>5</v>
      </c>
      <c r="G24" s="36">
        <v>8</v>
      </c>
      <c r="H24" s="36">
        <v>9</v>
      </c>
      <c r="I24" s="36">
        <v>31</v>
      </c>
      <c r="J24" s="36">
        <v>39</v>
      </c>
      <c r="K24" s="45">
        <v>-8</v>
      </c>
      <c r="L24" s="37">
        <v>23</v>
      </c>
      <c r="M24" s="33"/>
      <c r="N24" s="34">
        <v>1.4</v>
      </c>
      <c r="O24" s="34">
        <v>1.8</v>
      </c>
      <c r="P24" s="46">
        <v>-0.4</v>
      </c>
      <c r="Q24" s="34">
        <v>1</v>
      </c>
    </row>
    <row r="25" spans="1:17" x14ac:dyDescent="0.25">
      <c r="A25" s="139"/>
      <c r="B25" s="144"/>
      <c r="C25" s="38">
        <v>10</v>
      </c>
      <c r="D25" s="39" t="s">
        <v>254</v>
      </c>
      <c r="E25" s="40">
        <v>22</v>
      </c>
      <c r="F25" s="40">
        <v>4</v>
      </c>
      <c r="G25" s="40">
        <v>10</v>
      </c>
      <c r="H25" s="40">
        <v>8</v>
      </c>
      <c r="I25" s="40">
        <v>26</v>
      </c>
      <c r="J25" s="40">
        <v>42</v>
      </c>
      <c r="K25" s="41">
        <v>-16</v>
      </c>
      <c r="L25" s="42">
        <v>22</v>
      </c>
      <c r="M25" s="43"/>
      <c r="N25" s="38">
        <v>1.2</v>
      </c>
      <c r="O25" s="38">
        <v>1.9</v>
      </c>
      <c r="P25" s="44">
        <v>-0.7</v>
      </c>
      <c r="Q25" s="38">
        <v>1</v>
      </c>
    </row>
    <row r="26" spans="1:17" x14ac:dyDescent="0.25">
      <c r="A26" s="139"/>
      <c r="B26" s="144"/>
      <c r="C26" s="34">
        <v>11</v>
      </c>
      <c r="D26" s="35" t="s">
        <v>262</v>
      </c>
      <c r="E26" s="36">
        <v>22</v>
      </c>
      <c r="F26" s="36">
        <v>4</v>
      </c>
      <c r="G26" s="36">
        <v>7</v>
      </c>
      <c r="H26" s="36">
        <v>11</v>
      </c>
      <c r="I26" s="36">
        <v>20</v>
      </c>
      <c r="J26" s="36">
        <v>39</v>
      </c>
      <c r="K26" s="45">
        <v>-19</v>
      </c>
      <c r="L26" s="37">
        <v>19</v>
      </c>
      <c r="M26" s="33"/>
      <c r="N26" s="34">
        <v>0.9</v>
      </c>
      <c r="O26" s="34">
        <v>1.8</v>
      </c>
      <c r="P26" s="46">
        <v>-0.9</v>
      </c>
      <c r="Q26" s="34">
        <v>0.9</v>
      </c>
    </row>
    <row r="27" spans="1:17" x14ac:dyDescent="0.25">
      <c r="A27" s="142"/>
      <c r="B27" s="145"/>
      <c r="C27" s="34">
        <v>12</v>
      </c>
      <c r="D27" s="35" t="s">
        <v>266</v>
      </c>
      <c r="E27" s="36">
        <v>22</v>
      </c>
      <c r="F27" s="36">
        <v>2</v>
      </c>
      <c r="G27" s="36">
        <v>6</v>
      </c>
      <c r="H27" s="36">
        <v>14</v>
      </c>
      <c r="I27" s="36">
        <v>27</v>
      </c>
      <c r="J27" s="36">
        <v>53</v>
      </c>
      <c r="K27" s="45">
        <v>-26</v>
      </c>
      <c r="L27" s="37">
        <v>12</v>
      </c>
      <c r="M27" s="33"/>
      <c r="N27" s="34">
        <v>1.2</v>
      </c>
      <c r="O27" s="34">
        <v>2.4</v>
      </c>
      <c r="P27" s="46">
        <v>-1.2</v>
      </c>
      <c r="Q27" s="34">
        <v>0.5</v>
      </c>
    </row>
    <row r="28" spans="1:17" x14ac:dyDescent="0.25">
      <c r="A28" s="47"/>
      <c r="B28" s="47"/>
      <c r="C28" s="48"/>
      <c r="D28" s="47"/>
      <c r="E28" s="49"/>
      <c r="F28" s="49"/>
      <c r="G28" s="49"/>
      <c r="H28" s="49"/>
      <c r="I28" s="49"/>
      <c r="J28" s="49"/>
      <c r="K28" s="49"/>
      <c r="L28" s="49"/>
      <c r="M28" s="50"/>
      <c r="N28" s="51"/>
      <c r="O28" s="51"/>
      <c r="P28" s="51"/>
      <c r="Q28" s="51"/>
    </row>
    <row r="29" spans="1:17" x14ac:dyDescent="0.25">
      <c r="A29" s="29"/>
      <c r="B29" s="29"/>
      <c r="C29" s="30"/>
      <c r="D29" s="31"/>
      <c r="E29" s="32" t="s">
        <v>351</v>
      </c>
      <c r="F29" s="32" t="s">
        <v>236</v>
      </c>
      <c r="G29" s="32" t="s">
        <v>237</v>
      </c>
      <c r="H29" s="32" t="s">
        <v>238</v>
      </c>
      <c r="I29" s="32" t="s">
        <v>247</v>
      </c>
      <c r="J29" s="32" t="s">
        <v>248</v>
      </c>
      <c r="K29" s="32" t="s">
        <v>241</v>
      </c>
      <c r="L29" s="32" t="s">
        <v>352</v>
      </c>
      <c r="M29" s="33"/>
      <c r="N29" s="32" t="s">
        <v>353</v>
      </c>
      <c r="O29" s="32" t="s">
        <v>354</v>
      </c>
      <c r="P29" s="32" t="s">
        <v>355</v>
      </c>
      <c r="Q29" s="32" t="s">
        <v>356</v>
      </c>
    </row>
    <row r="30" spans="1:17" x14ac:dyDescent="0.25">
      <c r="A30" s="138">
        <v>2012</v>
      </c>
      <c r="B30" s="143" t="s">
        <v>362</v>
      </c>
      <c r="C30" s="34">
        <v>1</v>
      </c>
      <c r="D30" s="35" t="s">
        <v>363</v>
      </c>
      <c r="E30" s="36">
        <v>18</v>
      </c>
      <c r="F30" s="36">
        <v>14</v>
      </c>
      <c r="G30" s="36">
        <v>3</v>
      </c>
      <c r="H30" s="36">
        <v>1</v>
      </c>
      <c r="I30" s="36">
        <v>97</v>
      </c>
      <c r="J30" s="36">
        <v>25</v>
      </c>
      <c r="K30" s="36">
        <v>72</v>
      </c>
      <c r="L30" s="37">
        <v>45</v>
      </c>
      <c r="M30" s="33"/>
      <c r="N30" s="34">
        <v>5.4</v>
      </c>
      <c r="O30" s="34">
        <v>1.4</v>
      </c>
      <c r="P30" s="34">
        <v>4</v>
      </c>
      <c r="Q30" s="34">
        <v>2.5</v>
      </c>
    </row>
    <row r="31" spans="1:17" x14ac:dyDescent="0.25">
      <c r="A31" s="139"/>
      <c r="B31" s="144"/>
      <c r="C31" s="34">
        <v>2</v>
      </c>
      <c r="D31" s="35" t="s">
        <v>266</v>
      </c>
      <c r="E31" s="36">
        <v>18</v>
      </c>
      <c r="F31" s="36">
        <v>13</v>
      </c>
      <c r="G31" s="36">
        <v>3</v>
      </c>
      <c r="H31" s="36">
        <v>2</v>
      </c>
      <c r="I31" s="36">
        <v>55</v>
      </c>
      <c r="J31" s="36">
        <v>26</v>
      </c>
      <c r="K31" s="36">
        <v>29</v>
      </c>
      <c r="L31" s="37">
        <v>42</v>
      </c>
      <c r="M31" s="33"/>
      <c r="N31" s="34">
        <v>3.1</v>
      </c>
      <c r="O31" s="34">
        <v>1.4</v>
      </c>
      <c r="P31" s="34">
        <v>1.6</v>
      </c>
      <c r="Q31" s="34">
        <v>2.2999999999999998</v>
      </c>
    </row>
    <row r="32" spans="1:17" x14ac:dyDescent="0.25">
      <c r="A32" s="139"/>
      <c r="B32" s="144"/>
      <c r="C32" s="34">
        <v>3</v>
      </c>
      <c r="D32" s="35" t="s">
        <v>287</v>
      </c>
      <c r="E32" s="36">
        <v>18</v>
      </c>
      <c r="F32" s="36">
        <v>12</v>
      </c>
      <c r="G32" s="36">
        <v>3</v>
      </c>
      <c r="H32" s="36">
        <v>3</v>
      </c>
      <c r="I32" s="36">
        <v>63</v>
      </c>
      <c r="J32" s="36">
        <v>24</v>
      </c>
      <c r="K32" s="36">
        <v>39</v>
      </c>
      <c r="L32" s="37">
        <v>39</v>
      </c>
      <c r="M32" s="33"/>
      <c r="N32" s="34">
        <v>3.5</v>
      </c>
      <c r="O32" s="34">
        <v>1.3</v>
      </c>
      <c r="P32" s="34">
        <v>2.2000000000000002</v>
      </c>
      <c r="Q32" s="34">
        <v>2.2000000000000002</v>
      </c>
    </row>
    <row r="33" spans="1:17" x14ac:dyDescent="0.25">
      <c r="A33" s="139"/>
      <c r="B33" s="144"/>
      <c r="C33" s="34">
        <v>4</v>
      </c>
      <c r="D33" s="35" t="s">
        <v>289</v>
      </c>
      <c r="E33" s="36">
        <v>18</v>
      </c>
      <c r="F33" s="36">
        <v>9</v>
      </c>
      <c r="G33" s="36">
        <v>4</v>
      </c>
      <c r="H33" s="36">
        <v>5</v>
      </c>
      <c r="I33" s="36">
        <v>44</v>
      </c>
      <c r="J33" s="36">
        <v>32</v>
      </c>
      <c r="K33" s="36">
        <v>12</v>
      </c>
      <c r="L33" s="37">
        <v>31</v>
      </c>
      <c r="M33" s="33"/>
      <c r="N33" s="34">
        <v>2.4</v>
      </c>
      <c r="O33" s="34">
        <v>1.8</v>
      </c>
      <c r="P33" s="34">
        <v>0.7</v>
      </c>
      <c r="Q33" s="34">
        <v>1.7</v>
      </c>
    </row>
    <row r="34" spans="1:17" x14ac:dyDescent="0.25">
      <c r="A34" s="139"/>
      <c r="B34" s="144"/>
      <c r="C34" s="34">
        <v>5</v>
      </c>
      <c r="D34" s="35" t="s">
        <v>261</v>
      </c>
      <c r="E34" s="36">
        <v>18</v>
      </c>
      <c r="F34" s="36">
        <v>9</v>
      </c>
      <c r="G34" s="36">
        <v>3</v>
      </c>
      <c r="H34" s="36">
        <v>6</v>
      </c>
      <c r="I34" s="36">
        <v>50</v>
      </c>
      <c r="J34" s="36">
        <v>37</v>
      </c>
      <c r="K34" s="36">
        <v>13</v>
      </c>
      <c r="L34" s="37">
        <v>30</v>
      </c>
      <c r="M34" s="33"/>
      <c r="N34" s="34">
        <v>2.8</v>
      </c>
      <c r="O34" s="34">
        <v>2.1</v>
      </c>
      <c r="P34" s="34">
        <v>0.7</v>
      </c>
      <c r="Q34" s="34">
        <v>1.7</v>
      </c>
    </row>
    <row r="35" spans="1:17" x14ac:dyDescent="0.25">
      <c r="A35" s="139"/>
      <c r="B35" s="144"/>
      <c r="C35" s="34">
        <v>6</v>
      </c>
      <c r="D35" s="35" t="s">
        <v>301</v>
      </c>
      <c r="E35" s="36">
        <v>18</v>
      </c>
      <c r="F35" s="36">
        <v>5</v>
      </c>
      <c r="G35" s="36">
        <v>3</v>
      </c>
      <c r="H35" s="36">
        <v>10</v>
      </c>
      <c r="I35" s="36">
        <v>28</v>
      </c>
      <c r="J35" s="36">
        <v>45</v>
      </c>
      <c r="K35" s="45">
        <v>-17</v>
      </c>
      <c r="L35" s="37">
        <v>18</v>
      </c>
      <c r="M35" s="33"/>
      <c r="N35" s="34">
        <v>1.6</v>
      </c>
      <c r="O35" s="34">
        <v>2.5</v>
      </c>
      <c r="P35" s="46">
        <v>-0.9</v>
      </c>
      <c r="Q35" s="34">
        <v>1</v>
      </c>
    </row>
    <row r="36" spans="1:17" x14ac:dyDescent="0.25">
      <c r="A36" s="139"/>
      <c r="B36" s="144"/>
      <c r="C36" s="34">
        <v>7</v>
      </c>
      <c r="D36" s="35" t="s">
        <v>291</v>
      </c>
      <c r="E36" s="36">
        <v>18</v>
      </c>
      <c r="F36" s="36">
        <v>5</v>
      </c>
      <c r="G36" s="36">
        <v>2</v>
      </c>
      <c r="H36" s="36">
        <v>11</v>
      </c>
      <c r="I36" s="36">
        <v>26</v>
      </c>
      <c r="J36" s="36">
        <v>48</v>
      </c>
      <c r="K36" s="45">
        <v>-22</v>
      </c>
      <c r="L36" s="37">
        <v>17</v>
      </c>
      <c r="M36" s="33"/>
      <c r="N36" s="34">
        <v>1.4</v>
      </c>
      <c r="O36" s="34">
        <v>2.7</v>
      </c>
      <c r="P36" s="46">
        <v>-1.2</v>
      </c>
      <c r="Q36" s="34">
        <v>0.9</v>
      </c>
    </row>
    <row r="37" spans="1:17" x14ac:dyDescent="0.25">
      <c r="A37" s="139"/>
      <c r="B37" s="144"/>
      <c r="C37" s="34">
        <v>8</v>
      </c>
      <c r="D37" s="35" t="s">
        <v>297</v>
      </c>
      <c r="E37" s="36">
        <v>18</v>
      </c>
      <c r="F37" s="36">
        <v>4</v>
      </c>
      <c r="G37" s="36">
        <v>3</v>
      </c>
      <c r="H37" s="36">
        <v>11</v>
      </c>
      <c r="I37" s="36">
        <v>29</v>
      </c>
      <c r="J37" s="36">
        <v>59</v>
      </c>
      <c r="K37" s="45">
        <v>-30</v>
      </c>
      <c r="L37" s="37">
        <v>15</v>
      </c>
      <c r="M37" s="33"/>
      <c r="N37" s="34">
        <v>1.6</v>
      </c>
      <c r="O37" s="34">
        <v>3.3</v>
      </c>
      <c r="P37" s="46">
        <v>-1.7</v>
      </c>
      <c r="Q37" s="34">
        <v>0.8</v>
      </c>
    </row>
    <row r="38" spans="1:17" x14ac:dyDescent="0.25">
      <c r="A38" s="139"/>
      <c r="B38" s="144"/>
      <c r="C38" s="34">
        <v>9</v>
      </c>
      <c r="D38" s="35" t="s">
        <v>295</v>
      </c>
      <c r="E38" s="36">
        <v>18</v>
      </c>
      <c r="F38" s="36">
        <v>5</v>
      </c>
      <c r="G38" s="36">
        <v>0</v>
      </c>
      <c r="H38" s="36">
        <v>13</v>
      </c>
      <c r="I38" s="36">
        <v>19</v>
      </c>
      <c r="J38" s="36">
        <v>65</v>
      </c>
      <c r="K38" s="45">
        <v>-46</v>
      </c>
      <c r="L38" s="37">
        <v>15</v>
      </c>
      <c r="M38" s="33"/>
      <c r="N38" s="34">
        <v>1.1000000000000001</v>
      </c>
      <c r="O38" s="34">
        <v>3.6</v>
      </c>
      <c r="P38" s="46">
        <v>-2.6</v>
      </c>
      <c r="Q38" s="34">
        <v>0.8</v>
      </c>
    </row>
    <row r="39" spans="1:17" x14ac:dyDescent="0.25">
      <c r="A39" s="142"/>
      <c r="B39" s="145"/>
      <c r="C39" s="38">
        <v>10</v>
      </c>
      <c r="D39" s="39" t="s">
        <v>254</v>
      </c>
      <c r="E39" s="40">
        <v>18</v>
      </c>
      <c r="F39" s="40">
        <v>1</v>
      </c>
      <c r="G39" s="40">
        <v>2</v>
      </c>
      <c r="H39" s="40">
        <v>15</v>
      </c>
      <c r="I39" s="40">
        <v>18</v>
      </c>
      <c r="J39" s="40">
        <v>68</v>
      </c>
      <c r="K39" s="41">
        <v>-50</v>
      </c>
      <c r="L39" s="42">
        <v>5</v>
      </c>
      <c r="M39" s="43"/>
      <c r="N39" s="38">
        <v>1</v>
      </c>
      <c r="O39" s="38">
        <v>3.8</v>
      </c>
      <c r="P39" s="44">
        <v>-2.8</v>
      </c>
      <c r="Q39" s="38">
        <v>0.3</v>
      </c>
    </row>
    <row r="40" spans="1:17" x14ac:dyDescent="0.25">
      <c r="A40" s="47"/>
      <c r="B40" s="47"/>
      <c r="C40" s="48"/>
      <c r="D40" s="47"/>
      <c r="E40" s="49"/>
      <c r="F40" s="49"/>
      <c r="G40" s="49"/>
      <c r="H40" s="49"/>
      <c r="I40" s="49"/>
      <c r="J40" s="49"/>
      <c r="K40" s="49"/>
      <c r="L40" s="49"/>
      <c r="M40" s="50"/>
      <c r="N40" s="51"/>
      <c r="O40" s="51"/>
      <c r="P40" s="51"/>
      <c r="Q40" s="51"/>
    </row>
    <row r="41" spans="1:17" x14ac:dyDescent="0.25">
      <c r="A41" s="29"/>
      <c r="B41" s="29"/>
      <c r="C41" s="30"/>
      <c r="D41" s="31"/>
      <c r="E41" s="32" t="s">
        <v>351</v>
      </c>
      <c r="F41" s="32" t="s">
        <v>236</v>
      </c>
      <c r="G41" s="32" t="s">
        <v>237</v>
      </c>
      <c r="H41" s="32" t="s">
        <v>238</v>
      </c>
      <c r="I41" s="32" t="s">
        <v>247</v>
      </c>
      <c r="J41" s="32" t="s">
        <v>248</v>
      </c>
      <c r="K41" s="32" t="s">
        <v>241</v>
      </c>
      <c r="L41" s="32" t="s">
        <v>352</v>
      </c>
      <c r="M41" s="33"/>
      <c r="N41" s="32" t="s">
        <v>353</v>
      </c>
      <c r="O41" s="32" t="s">
        <v>354</v>
      </c>
      <c r="P41" s="32" t="s">
        <v>355</v>
      </c>
      <c r="Q41" s="32" t="s">
        <v>356</v>
      </c>
    </row>
    <row r="42" spans="1:17" x14ac:dyDescent="0.25">
      <c r="A42" s="138">
        <v>2013</v>
      </c>
      <c r="B42" s="143" t="s">
        <v>362</v>
      </c>
      <c r="C42" s="34">
        <v>1</v>
      </c>
      <c r="D42" s="35" t="s">
        <v>364</v>
      </c>
      <c r="E42" s="36">
        <v>10</v>
      </c>
      <c r="F42" s="36">
        <v>8</v>
      </c>
      <c r="G42" s="36">
        <v>2</v>
      </c>
      <c r="H42" s="36">
        <v>0</v>
      </c>
      <c r="I42" s="36">
        <v>51</v>
      </c>
      <c r="J42" s="36">
        <v>15</v>
      </c>
      <c r="K42" s="36">
        <v>36</v>
      </c>
      <c r="L42" s="37">
        <v>26</v>
      </c>
      <c r="M42" s="33"/>
      <c r="N42" s="34">
        <v>5.0999999999999996</v>
      </c>
      <c r="O42" s="34">
        <v>1.5</v>
      </c>
      <c r="P42" s="34">
        <v>3.6</v>
      </c>
      <c r="Q42" s="34">
        <v>2.6</v>
      </c>
    </row>
    <row r="43" spans="1:17" x14ac:dyDescent="0.25">
      <c r="A43" s="139"/>
      <c r="B43" s="144"/>
      <c r="C43" s="34">
        <v>2</v>
      </c>
      <c r="D43" s="35" t="s">
        <v>365</v>
      </c>
      <c r="E43" s="36">
        <v>10</v>
      </c>
      <c r="F43" s="36">
        <v>6</v>
      </c>
      <c r="G43" s="36">
        <v>2</v>
      </c>
      <c r="H43" s="36">
        <v>2</v>
      </c>
      <c r="I43" s="36">
        <v>21</v>
      </c>
      <c r="J43" s="36">
        <v>13</v>
      </c>
      <c r="K43" s="36">
        <v>8</v>
      </c>
      <c r="L43" s="37">
        <v>20</v>
      </c>
      <c r="M43" s="33"/>
      <c r="N43" s="34">
        <v>2.1</v>
      </c>
      <c r="O43" s="34">
        <v>1.3</v>
      </c>
      <c r="P43" s="34">
        <v>0.8</v>
      </c>
      <c r="Q43" s="34">
        <v>2</v>
      </c>
    </row>
    <row r="44" spans="1:17" x14ac:dyDescent="0.25">
      <c r="A44" s="139"/>
      <c r="B44" s="144"/>
      <c r="C44" s="38">
        <v>3</v>
      </c>
      <c r="D44" s="39" t="s">
        <v>254</v>
      </c>
      <c r="E44" s="40">
        <v>10</v>
      </c>
      <c r="F44" s="40">
        <v>4</v>
      </c>
      <c r="G44" s="40">
        <v>4</v>
      </c>
      <c r="H44" s="40">
        <v>2</v>
      </c>
      <c r="I44" s="40">
        <v>30</v>
      </c>
      <c r="J44" s="40">
        <v>15</v>
      </c>
      <c r="K44" s="40">
        <v>15</v>
      </c>
      <c r="L44" s="42">
        <v>16</v>
      </c>
      <c r="M44" s="43"/>
      <c r="N44" s="38">
        <v>3</v>
      </c>
      <c r="O44" s="38">
        <v>1.5</v>
      </c>
      <c r="P44" s="38">
        <v>1.5</v>
      </c>
      <c r="Q44" s="38">
        <v>1.6</v>
      </c>
    </row>
    <row r="45" spans="1:17" x14ac:dyDescent="0.25">
      <c r="A45" s="139"/>
      <c r="B45" s="144"/>
      <c r="C45" s="34">
        <v>4</v>
      </c>
      <c r="D45" s="35" t="s">
        <v>310</v>
      </c>
      <c r="E45" s="36">
        <v>10</v>
      </c>
      <c r="F45" s="36">
        <v>3</v>
      </c>
      <c r="G45" s="36">
        <v>3</v>
      </c>
      <c r="H45" s="36">
        <v>4</v>
      </c>
      <c r="I45" s="36">
        <v>19</v>
      </c>
      <c r="J45" s="36">
        <v>31</v>
      </c>
      <c r="K45" s="45">
        <v>-12</v>
      </c>
      <c r="L45" s="37">
        <v>12</v>
      </c>
      <c r="M45" s="33"/>
      <c r="N45" s="34">
        <v>1.9</v>
      </c>
      <c r="O45" s="34">
        <v>3.1</v>
      </c>
      <c r="P45" s="46">
        <v>-1.2</v>
      </c>
      <c r="Q45" s="34">
        <v>1.2</v>
      </c>
    </row>
    <row r="46" spans="1:17" x14ac:dyDescent="0.25">
      <c r="A46" s="139"/>
      <c r="B46" s="144"/>
      <c r="C46" s="34">
        <v>5</v>
      </c>
      <c r="D46" s="35" t="s">
        <v>257</v>
      </c>
      <c r="E46" s="36">
        <v>10</v>
      </c>
      <c r="F46" s="36">
        <v>2</v>
      </c>
      <c r="G46" s="36">
        <v>2</v>
      </c>
      <c r="H46" s="36">
        <v>6</v>
      </c>
      <c r="I46" s="36">
        <v>24</v>
      </c>
      <c r="J46" s="36">
        <v>29</v>
      </c>
      <c r="K46" s="45">
        <v>-5</v>
      </c>
      <c r="L46" s="37">
        <v>8</v>
      </c>
      <c r="M46" s="33"/>
      <c r="N46" s="34">
        <v>2.4</v>
      </c>
      <c r="O46" s="34">
        <v>2.9</v>
      </c>
      <c r="P46" s="46">
        <v>-0.5</v>
      </c>
      <c r="Q46" s="34">
        <v>0.8</v>
      </c>
    </row>
    <row r="47" spans="1:17" x14ac:dyDescent="0.25">
      <c r="A47" s="142"/>
      <c r="B47" s="145"/>
      <c r="C47" s="34">
        <v>6</v>
      </c>
      <c r="D47" s="35" t="s">
        <v>265</v>
      </c>
      <c r="E47" s="36">
        <v>10</v>
      </c>
      <c r="F47" s="36">
        <v>0</v>
      </c>
      <c r="G47" s="36">
        <v>1</v>
      </c>
      <c r="H47" s="36">
        <v>9</v>
      </c>
      <c r="I47" s="36">
        <v>12</v>
      </c>
      <c r="J47" s="36">
        <v>54</v>
      </c>
      <c r="K47" s="45">
        <v>-42</v>
      </c>
      <c r="L47" s="37">
        <v>1</v>
      </c>
      <c r="M47" s="33"/>
      <c r="N47" s="34">
        <v>1.2</v>
      </c>
      <c r="O47" s="34">
        <v>5.4</v>
      </c>
      <c r="P47" s="46">
        <v>-4.2</v>
      </c>
      <c r="Q47" s="34">
        <v>0.1</v>
      </c>
    </row>
    <row r="48" spans="1:17" x14ac:dyDescent="0.25">
      <c r="A48" s="47"/>
      <c r="B48" s="47"/>
      <c r="C48" s="48"/>
      <c r="D48" s="47"/>
      <c r="E48" s="49"/>
      <c r="F48" s="49"/>
      <c r="G48" s="49"/>
      <c r="H48" s="49"/>
      <c r="I48" s="49"/>
      <c r="J48" s="49"/>
      <c r="K48" s="49"/>
      <c r="L48" s="49"/>
      <c r="M48" s="50"/>
      <c r="N48" s="51"/>
      <c r="O48" s="51"/>
      <c r="P48" s="51"/>
      <c r="Q48" s="51"/>
    </row>
    <row r="49" spans="1:17" x14ac:dyDescent="0.25">
      <c r="A49" s="29"/>
      <c r="B49" s="29"/>
      <c r="C49" s="30"/>
      <c r="D49" s="31"/>
      <c r="E49" s="32" t="s">
        <v>351</v>
      </c>
      <c r="F49" s="32" t="s">
        <v>236</v>
      </c>
      <c r="G49" s="32" t="s">
        <v>237</v>
      </c>
      <c r="H49" s="32" t="s">
        <v>238</v>
      </c>
      <c r="I49" s="32" t="s">
        <v>247</v>
      </c>
      <c r="J49" s="32" t="s">
        <v>248</v>
      </c>
      <c r="K49" s="32" t="s">
        <v>241</v>
      </c>
      <c r="L49" s="32" t="s">
        <v>352</v>
      </c>
      <c r="M49" s="33"/>
      <c r="N49" s="32" t="s">
        <v>353</v>
      </c>
      <c r="O49" s="32" t="s">
        <v>354</v>
      </c>
      <c r="P49" s="32" t="s">
        <v>355</v>
      </c>
      <c r="Q49" s="32" t="s">
        <v>356</v>
      </c>
    </row>
    <row r="50" spans="1:17" x14ac:dyDescent="0.25">
      <c r="A50" s="138">
        <v>2014</v>
      </c>
      <c r="B50" s="143" t="s">
        <v>362</v>
      </c>
      <c r="C50" s="34">
        <v>1</v>
      </c>
      <c r="D50" s="35" t="s">
        <v>314</v>
      </c>
      <c r="E50" s="36">
        <v>16</v>
      </c>
      <c r="F50" s="36">
        <v>12</v>
      </c>
      <c r="G50" s="36">
        <v>2</v>
      </c>
      <c r="H50" s="36">
        <v>2</v>
      </c>
      <c r="I50" s="36">
        <v>68</v>
      </c>
      <c r="J50" s="36">
        <v>17</v>
      </c>
      <c r="K50" s="36">
        <v>51</v>
      </c>
      <c r="L50" s="37">
        <v>38</v>
      </c>
      <c r="M50" s="33"/>
      <c r="N50" s="34">
        <v>4.3</v>
      </c>
      <c r="O50" s="34">
        <v>1.1000000000000001</v>
      </c>
      <c r="P50" s="34">
        <v>3.2</v>
      </c>
      <c r="Q50" s="34">
        <v>2.4</v>
      </c>
    </row>
    <row r="51" spans="1:17" x14ac:dyDescent="0.25">
      <c r="A51" s="139"/>
      <c r="B51" s="144"/>
      <c r="C51" s="34">
        <v>2</v>
      </c>
      <c r="D51" s="35" t="s">
        <v>310</v>
      </c>
      <c r="E51" s="36">
        <v>16</v>
      </c>
      <c r="F51" s="36">
        <v>11</v>
      </c>
      <c r="G51" s="36">
        <v>2</v>
      </c>
      <c r="H51" s="36">
        <v>3</v>
      </c>
      <c r="I51" s="36">
        <v>77</v>
      </c>
      <c r="J51" s="36">
        <v>23</v>
      </c>
      <c r="K51" s="36">
        <v>54</v>
      </c>
      <c r="L51" s="37">
        <v>35</v>
      </c>
      <c r="M51" s="33"/>
      <c r="N51" s="34">
        <v>4.8</v>
      </c>
      <c r="O51" s="34">
        <v>1.4</v>
      </c>
      <c r="P51" s="34">
        <v>3.4</v>
      </c>
      <c r="Q51" s="34">
        <v>2.2000000000000002</v>
      </c>
    </row>
    <row r="52" spans="1:17" x14ac:dyDescent="0.25">
      <c r="A52" s="139"/>
      <c r="B52" s="144"/>
      <c r="C52" s="34">
        <v>3</v>
      </c>
      <c r="D52" s="35" t="s">
        <v>258</v>
      </c>
      <c r="E52" s="36">
        <v>16</v>
      </c>
      <c r="F52" s="36">
        <v>10</v>
      </c>
      <c r="G52" s="36">
        <v>0</v>
      </c>
      <c r="H52" s="36">
        <v>6</v>
      </c>
      <c r="I52" s="36">
        <v>49</v>
      </c>
      <c r="J52" s="36">
        <v>27</v>
      </c>
      <c r="K52" s="36">
        <v>22</v>
      </c>
      <c r="L52" s="37">
        <v>30</v>
      </c>
      <c r="M52" s="33"/>
      <c r="N52" s="34">
        <v>3.1</v>
      </c>
      <c r="O52" s="34">
        <v>1.7</v>
      </c>
      <c r="P52" s="34">
        <v>1.4</v>
      </c>
      <c r="Q52" s="34">
        <v>1.9</v>
      </c>
    </row>
    <row r="53" spans="1:17" x14ac:dyDescent="0.25">
      <c r="A53" s="139"/>
      <c r="B53" s="144"/>
      <c r="C53" s="34">
        <v>4</v>
      </c>
      <c r="D53" s="35" t="s">
        <v>297</v>
      </c>
      <c r="E53" s="36">
        <v>16</v>
      </c>
      <c r="F53" s="36">
        <v>9</v>
      </c>
      <c r="G53" s="36">
        <v>2</v>
      </c>
      <c r="H53" s="36">
        <v>5</v>
      </c>
      <c r="I53" s="36">
        <v>67</v>
      </c>
      <c r="J53" s="36">
        <v>35</v>
      </c>
      <c r="K53" s="36">
        <v>32</v>
      </c>
      <c r="L53" s="37">
        <v>29</v>
      </c>
      <c r="M53" s="33"/>
      <c r="N53" s="34">
        <v>4.2</v>
      </c>
      <c r="O53" s="34">
        <v>2.2000000000000002</v>
      </c>
      <c r="P53" s="34">
        <v>2</v>
      </c>
      <c r="Q53" s="34">
        <v>1.8</v>
      </c>
    </row>
    <row r="54" spans="1:17" x14ac:dyDescent="0.25">
      <c r="A54" s="139"/>
      <c r="B54" s="144"/>
      <c r="C54" s="34">
        <v>5</v>
      </c>
      <c r="D54" s="35" t="s">
        <v>269</v>
      </c>
      <c r="E54" s="36">
        <v>16</v>
      </c>
      <c r="F54" s="36">
        <v>8</v>
      </c>
      <c r="G54" s="36">
        <v>2</v>
      </c>
      <c r="H54" s="36">
        <v>6</v>
      </c>
      <c r="I54" s="36">
        <v>54</v>
      </c>
      <c r="J54" s="36">
        <v>45</v>
      </c>
      <c r="K54" s="36">
        <v>9</v>
      </c>
      <c r="L54" s="37">
        <v>26</v>
      </c>
      <c r="M54" s="33"/>
      <c r="N54" s="34">
        <v>3.4</v>
      </c>
      <c r="O54" s="34">
        <v>2.8</v>
      </c>
      <c r="P54" s="34">
        <v>0.6</v>
      </c>
      <c r="Q54" s="34">
        <v>1.6</v>
      </c>
    </row>
    <row r="55" spans="1:17" x14ac:dyDescent="0.25">
      <c r="A55" s="139"/>
      <c r="B55" s="144"/>
      <c r="C55" s="38">
        <v>6</v>
      </c>
      <c r="D55" s="39" t="s">
        <v>254</v>
      </c>
      <c r="E55" s="40">
        <v>16</v>
      </c>
      <c r="F55" s="40">
        <v>7</v>
      </c>
      <c r="G55" s="40">
        <v>4</v>
      </c>
      <c r="H55" s="40">
        <v>5</v>
      </c>
      <c r="I55" s="40">
        <v>60</v>
      </c>
      <c r="J55" s="40">
        <v>35</v>
      </c>
      <c r="K55" s="40">
        <v>25</v>
      </c>
      <c r="L55" s="42">
        <v>25</v>
      </c>
      <c r="M55" s="43"/>
      <c r="N55" s="38">
        <v>3.8</v>
      </c>
      <c r="O55" s="38">
        <v>2.2000000000000002</v>
      </c>
      <c r="P55" s="38">
        <v>1.6</v>
      </c>
      <c r="Q55" s="38">
        <v>1.6</v>
      </c>
    </row>
    <row r="56" spans="1:17" x14ac:dyDescent="0.25">
      <c r="A56" s="139"/>
      <c r="B56" s="144"/>
      <c r="C56" s="34">
        <v>7</v>
      </c>
      <c r="D56" s="35" t="s">
        <v>271</v>
      </c>
      <c r="E56" s="36">
        <v>16</v>
      </c>
      <c r="F56" s="36">
        <v>4</v>
      </c>
      <c r="G56" s="36">
        <v>3</v>
      </c>
      <c r="H56" s="36">
        <v>9</v>
      </c>
      <c r="I56" s="36">
        <v>25</v>
      </c>
      <c r="J56" s="36">
        <v>32</v>
      </c>
      <c r="K56" s="45">
        <v>-7</v>
      </c>
      <c r="L56" s="37">
        <v>15</v>
      </c>
      <c r="M56" s="33"/>
      <c r="N56" s="34">
        <v>1.6</v>
      </c>
      <c r="O56" s="34">
        <v>2</v>
      </c>
      <c r="P56" s="46">
        <v>-0.4</v>
      </c>
      <c r="Q56" s="34">
        <v>0.9</v>
      </c>
    </row>
    <row r="57" spans="1:17" x14ac:dyDescent="0.25">
      <c r="A57" s="139"/>
      <c r="B57" s="144"/>
      <c r="C57" s="34">
        <v>8</v>
      </c>
      <c r="D57" s="35" t="s">
        <v>257</v>
      </c>
      <c r="E57" s="36">
        <v>16</v>
      </c>
      <c r="F57" s="36">
        <v>2</v>
      </c>
      <c r="G57" s="36">
        <v>3</v>
      </c>
      <c r="H57" s="36">
        <v>11</v>
      </c>
      <c r="I57" s="36">
        <v>15</v>
      </c>
      <c r="J57" s="36">
        <v>60</v>
      </c>
      <c r="K57" s="45">
        <v>-45</v>
      </c>
      <c r="L57" s="37">
        <v>9</v>
      </c>
      <c r="M57" s="33"/>
      <c r="N57" s="34">
        <v>0.9</v>
      </c>
      <c r="O57" s="34">
        <v>3.8</v>
      </c>
      <c r="P57" s="46">
        <v>-2.8</v>
      </c>
      <c r="Q57" s="34">
        <v>0.6</v>
      </c>
    </row>
    <row r="58" spans="1:17" x14ac:dyDescent="0.25">
      <c r="A58" s="142"/>
      <c r="B58" s="145"/>
      <c r="C58" s="34">
        <v>9</v>
      </c>
      <c r="D58" s="35" t="s">
        <v>255</v>
      </c>
      <c r="E58" s="36">
        <v>16</v>
      </c>
      <c r="F58" s="36">
        <v>0</v>
      </c>
      <c r="G58" s="36">
        <v>0</v>
      </c>
      <c r="H58" s="36">
        <v>16</v>
      </c>
      <c r="I58" s="36">
        <v>2</v>
      </c>
      <c r="J58" s="36">
        <v>143</v>
      </c>
      <c r="K58" s="45">
        <v>-141</v>
      </c>
      <c r="L58" s="37">
        <v>0</v>
      </c>
      <c r="M58" s="33"/>
      <c r="N58" s="34">
        <v>0.1</v>
      </c>
      <c r="O58" s="34">
        <v>8.9</v>
      </c>
      <c r="P58" s="46">
        <v>-8.8000000000000007</v>
      </c>
      <c r="Q58" s="34">
        <v>0</v>
      </c>
    </row>
    <row r="60" spans="1:17" x14ac:dyDescent="0.25">
      <c r="A60" s="29"/>
      <c r="B60" s="29"/>
      <c r="C60" s="30"/>
      <c r="D60" s="31"/>
      <c r="E60" s="32" t="s">
        <v>351</v>
      </c>
      <c r="F60" s="32" t="s">
        <v>236</v>
      </c>
      <c r="G60" s="32" t="s">
        <v>237</v>
      </c>
      <c r="H60" s="32" t="s">
        <v>238</v>
      </c>
      <c r="I60" s="32" t="s">
        <v>247</v>
      </c>
      <c r="J60" s="32" t="s">
        <v>248</v>
      </c>
      <c r="K60" s="32" t="s">
        <v>241</v>
      </c>
      <c r="L60" s="32" t="s">
        <v>352</v>
      </c>
      <c r="M60" s="33"/>
      <c r="N60" s="32" t="s">
        <v>353</v>
      </c>
      <c r="O60" s="32" t="s">
        <v>354</v>
      </c>
      <c r="P60" s="32" t="s">
        <v>355</v>
      </c>
      <c r="Q60" s="32" t="s">
        <v>356</v>
      </c>
    </row>
    <row r="61" spans="1:17" x14ac:dyDescent="0.25">
      <c r="A61" s="138">
        <v>2015</v>
      </c>
      <c r="B61" s="143" t="s">
        <v>362</v>
      </c>
      <c r="C61" s="34">
        <v>1</v>
      </c>
      <c r="D61" s="35" t="s">
        <v>366</v>
      </c>
      <c r="E61" s="36">
        <v>20</v>
      </c>
      <c r="F61" s="36">
        <v>17</v>
      </c>
      <c r="G61" s="36">
        <v>1</v>
      </c>
      <c r="H61" s="36">
        <v>2</v>
      </c>
      <c r="I61" s="36">
        <v>105</v>
      </c>
      <c r="J61" s="36">
        <v>20</v>
      </c>
      <c r="K61" s="36">
        <v>85</v>
      </c>
      <c r="L61" s="37">
        <v>52</v>
      </c>
      <c r="M61" s="33"/>
      <c r="N61" s="34">
        <v>5.3</v>
      </c>
      <c r="O61" s="34">
        <v>1</v>
      </c>
      <c r="P61" s="34">
        <v>4.3</v>
      </c>
      <c r="Q61" s="34">
        <v>2.6</v>
      </c>
    </row>
    <row r="62" spans="1:17" x14ac:dyDescent="0.25">
      <c r="A62" s="139"/>
      <c r="B62" s="144"/>
      <c r="C62" s="34">
        <v>2</v>
      </c>
      <c r="D62" s="35" t="s">
        <v>258</v>
      </c>
      <c r="E62" s="36">
        <v>20</v>
      </c>
      <c r="F62" s="36">
        <v>15</v>
      </c>
      <c r="G62" s="36">
        <v>3</v>
      </c>
      <c r="H62" s="36">
        <v>2</v>
      </c>
      <c r="I62" s="36">
        <v>93</v>
      </c>
      <c r="J62" s="36">
        <v>19</v>
      </c>
      <c r="K62" s="36">
        <v>74</v>
      </c>
      <c r="L62" s="37">
        <v>48</v>
      </c>
      <c r="M62" s="33"/>
      <c r="N62" s="34">
        <v>4.7</v>
      </c>
      <c r="O62" s="34">
        <v>1</v>
      </c>
      <c r="P62" s="34">
        <v>3.7</v>
      </c>
      <c r="Q62" s="34">
        <v>2.4</v>
      </c>
    </row>
    <row r="63" spans="1:17" x14ac:dyDescent="0.25">
      <c r="A63" s="139"/>
      <c r="B63" s="144"/>
      <c r="C63" s="38">
        <v>3</v>
      </c>
      <c r="D63" s="39" t="s">
        <v>254</v>
      </c>
      <c r="E63" s="40">
        <v>20</v>
      </c>
      <c r="F63" s="40">
        <v>13</v>
      </c>
      <c r="G63" s="40">
        <v>3</v>
      </c>
      <c r="H63" s="40">
        <v>4</v>
      </c>
      <c r="I63" s="40">
        <v>114</v>
      </c>
      <c r="J63" s="40">
        <v>37</v>
      </c>
      <c r="K63" s="40">
        <v>77</v>
      </c>
      <c r="L63" s="42">
        <v>42</v>
      </c>
      <c r="M63" s="43"/>
      <c r="N63" s="38">
        <v>5.7</v>
      </c>
      <c r="O63" s="38">
        <v>1.9</v>
      </c>
      <c r="P63" s="38">
        <v>3.9</v>
      </c>
      <c r="Q63" s="38">
        <v>2.1</v>
      </c>
    </row>
    <row r="64" spans="1:17" x14ac:dyDescent="0.25">
      <c r="A64" s="139"/>
      <c r="B64" s="144"/>
      <c r="C64" s="34">
        <v>4</v>
      </c>
      <c r="D64" s="35" t="s">
        <v>275</v>
      </c>
      <c r="E64" s="36">
        <v>20</v>
      </c>
      <c r="F64" s="36">
        <v>13</v>
      </c>
      <c r="G64" s="36">
        <v>2</v>
      </c>
      <c r="H64" s="36">
        <v>5</v>
      </c>
      <c r="I64" s="36">
        <v>70</v>
      </c>
      <c r="J64" s="36">
        <v>20</v>
      </c>
      <c r="K64" s="36">
        <v>50</v>
      </c>
      <c r="L64" s="37">
        <v>41</v>
      </c>
      <c r="M64" s="33"/>
      <c r="N64" s="34">
        <v>3.5</v>
      </c>
      <c r="O64" s="34">
        <v>1</v>
      </c>
      <c r="P64" s="34">
        <v>2.5</v>
      </c>
      <c r="Q64" s="34">
        <v>2.1</v>
      </c>
    </row>
    <row r="65" spans="1:17" x14ac:dyDescent="0.25">
      <c r="A65" s="139"/>
      <c r="B65" s="144"/>
      <c r="C65" s="34">
        <v>5</v>
      </c>
      <c r="D65" s="35" t="s">
        <v>269</v>
      </c>
      <c r="E65" s="36">
        <v>20</v>
      </c>
      <c r="F65" s="36">
        <v>10</v>
      </c>
      <c r="G65" s="36">
        <v>5</v>
      </c>
      <c r="H65" s="36">
        <v>5</v>
      </c>
      <c r="I65" s="36">
        <v>72</v>
      </c>
      <c r="J65" s="36">
        <v>40</v>
      </c>
      <c r="K65" s="36">
        <v>32</v>
      </c>
      <c r="L65" s="37">
        <v>35</v>
      </c>
      <c r="M65" s="33"/>
      <c r="N65" s="34">
        <v>3.6</v>
      </c>
      <c r="O65" s="34">
        <v>2</v>
      </c>
      <c r="P65" s="34">
        <v>1.6</v>
      </c>
      <c r="Q65" s="34">
        <v>1.8</v>
      </c>
    </row>
    <row r="66" spans="1:17" x14ac:dyDescent="0.25">
      <c r="A66" s="139"/>
      <c r="B66" s="144"/>
      <c r="C66" s="34">
        <v>6</v>
      </c>
      <c r="D66" s="35" t="s">
        <v>318</v>
      </c>
      <c r="E66" s="36">
        <v>20</v>
      </c>
      <c r="F66" s="36">
        <v>9</v>
      </c>
      <c r="G66" s="36">
        <v>4</v>
      </c>
      <c r="H66" s="36">
        <v>7</v>
      </c>
      <c r="I66" s="36">
        <v>56</v>
      </c>
      <c r="J66" s="36">
        <v>45</v>
      </c>
      <c r="K66" s="36">
        <v>11</v>
      </c>
      <c r="L66" s="37">
        <v>31</v>
      </c>
      <c r="M66" s="33"/>
      <c r="N66" s="34">
        <v>2.8</v>
      </c>
      <c r="O66" s="34">
        <v>2.2999999999999998</v>
      </c>
      <c r="P66" s="34">
        <v>0.6</v>
      </c>
      <c r="Q66" s="34">
        <v>1.6</v>
      </c>
    </row>
    <row r="67" spans="1:17" x14ac:dyDescent="0.25">
      <c r="A67" s="139"/>
      <c r="B67" s="144"/>
      <c r="C67" s="34">
        <v>7</v>
      </c>
      <c r="D67" s="35" t="s">
        <v>271</v>
      </c>
      <c r="E67" s="36">
        <v>20</v>
      </c>
      <c r="F67" s="36">
        <v>7</v>
      </c>
      <c r="G67" s="36">
        <v>6</v>
      </c>
      <c r="H67" s="36">
        <v>7</v>
      </c>
      <c r="I67" s="36">
        <v>22</v>
      </c>
      <c r="J67" s="36">
        <v>29</v>
      </c>
      <c r="K67" s="45">
        <v>-7</v>
      </c>
      <c r="L67" s="37">
        <v>27</v>
      </c>
      <c r="M67" s="33"/>
      <c r="N67" s="34">
        <v>1.1000000000000001</v>
      </c>
      <c r="O67" s="34">
        <v>1.5</v>
      </c>
      <c r="P67" s="46">
        <v>-0.4</v>
      </c>
      <c r="Q67" s="34">
        <v>1.4</v>
      </c>
    </row>
    <row r="68" spans="1:17" x14ac:dyDescent="0.25">
      <c r="A68" s="139"/>
      <c r="B68" s="144"/>
      <c r="C68" s="34">
        <v>8</v>
      </c>
      <c r="D68" s="35" t="s">
        <v>257</v>
      </c>
      <c r="E68" s="36">
        <v>20</v>
      </c>
      <c r="F68" s="36">
        <v>5</v>
      </c>
      <c r="G68" s="36">
        <v>2</v>
      </c>
      <c r="H68" s="36">
        <v>13</v>
      </c>
      <c r="I68" s="36">
        <v>26</v>
      </c>
      <c r="J68" s="36">
        <v>71</v>
      </c>
      <c r="K68" s="45">
        <v>-45</v>
      </c>
      <c r="L68" s="37">
        <v>17</v>
      </c>
      <c r="M68" s="33"/>
      <c r="N68" s="34">
        <v>1.3</v>
      </c>
      <c r="O68" s="34">
        <v>3.6</v>
      </c>
      <c r="P68" s="46">
        <v>-2.2999999999999998</v>
      </c>
      <c r="Q68" s="34">
        <v>0.9</v>
      </c>
    </row>
    <row r="69" spans="1:17" x14ac:dyDescent="0.25">
      <c r="A69" s="139"/>
      <c r="B69" s="144"/>
      <c r="C69" s="34">
        <v>9</v>
      </c>
      <c r="D69" s="35" t="s">
        <v>259</v>
      </c>
      <c r="E69" s="36">
        <v>20</v>
      </c>
      <c r="F69" s="36">
        <v>3</v>
      </c>
      <c r="G69" s="36">
        <v>3</v>
      </c>
      <c r="H69" s="36">
        <v>14</v>
      </c>
      <c r="I69" s="36">
        <v>19</v>
      </c>
      <c r="J69" s="36">
        <v>93</v>
      </c>
      <c r="K69" s="45">
        <v>-74</v>
      </c>
      <c r="L69" s="37">
        <v>12</v>
      </c>
      <c r="M69" s="33"/>
      <c r="N69" s="34">
        <v>1</v>
      </c>
      <c r="O69" s="34">
        <v>4.7</v>
      </c>
      <c r="P69" s="46">
        <v>-3.7</v>
      </c>
      <c r="Q69" s="34">
        <v>0.6</v>
      </c>
    </row>
    <row r="70" spans="1:17" x14ac:dyDescent="0.25">
      <c r="A70" s="139"/>
      <c r="B70" s="144"/>
      <c r="C70" s="34">
        <v>10</v>
      </c>
      <c r="D70" s="35" t="s">
        <v>261</v>
      </c>
      <c r="E70" s="36">
        <v>20</v>
      </c>
      <c r="F70" s="36">
        <v>2</v>
      </c>
      <c r="G70" s="36">
        <v>1</v>
      </c>
      <c r="H70" s="36">
        <v>17</v>
      </c>
      <c r="I70" s="36">
        <v>8</v>
      </c>
      <c r="J70" s="36">
        <v>109</v>
      </c>
      <c r="K70" s="45">
        <v>-101</v>
      </c>
      <c r="L70" s="37">
        <v>7</v>
      </c>
      <c r="M70" s="33"/>
      <c r="N70" s="34">
        <v>0.4</v>
      </c>
      <c r="O70" s="34">
        <v>5.5</v>
      </c>
      <c r="P70" s="46">
        <v>-5.0999999999999996</v>
      </c>
      <c r="Q70" s="34">
        <v>0.4</v>
      </c>
    </row>
    <row r="71" spans="1:17" x14ac:dyDescent="0.25">
      <c r="A71" s="142"/>
      <c r="B71" s="145"/>
      <c r="C71" s="34">
        <v>11</v>
      </c>
      <c r="D71" s="35" t="s">
        <v>255</v>
      </c>
      <c r="E71" s="36">
        <v>20</v>
      </c>
      <c r="F71" s="36">
        <v>1</v>
      </c>
      <c r="G71" s="36">
        <v>0</v>
      </c>
      <c r="H71" s="36">
        <v>19</v>
      </c>
      <c r="I71" s="36">
        <v>13</v>
      </c>
      <c r="J71" s="36">
        <v>115</v>
      </c>
      <c r="K71" s="45">
        <v>-102</v>
      </c>
      <c r="L71" s="37">
        <v>3</v>
      </c>
      <c r="M71" s="33"/>
      <c r="N71" s="34">
        <v>0.7</v>
      </c>
      <c r="O71" s="34">
        <v>5.8</v>
      </c>
      <c r="P71" s="46">
        <v>-5.0999999999999996</v>
      </c>
      <c r="Q71" s="34">
        <v>0.2</v>
      </c>
    </row>
    <row r="72" spans="1:17" x14ac:dyDescent="0.25">
      <c r="A72" s="47"/>
      <c r="B72" s="47"/>
      <c r="C72" s="48"/>
      <c r="D72" s="47"/>
      <c r="E72" s="49"/>
      <c r="F72" s="49"/>
      <c r="G72" s="49"/>
      <c r="H72" s="49"/>
      <c r="I72" s="49"/>
      <c r="J72" s="49"/>
      <c r="K72" s="49"/>
      <c r="L72" s="49"/>
      <c r="M72" s="50"/>
      <c r="N72" s="51"/>
      <c r="O72" s="51"/>
      <c r="P72" s="51"/>
      <c r="Q72" s="51"/>
    </row>
    <row r="73" spans="1:17" x14ac:dyDescent="0.25">
      <c r="A73" s="29"/>
      <c r="B73" s="29"/>
      <c r="C73" s="30"/>
      <c r="D73" s="31"/>
      <c r="E73" s="32" t="s">
        <v>351</v>
      </c>
      <c r="F73" s="32" t="s">
        <v>236</v>
      </c>
      <c r="G73" s="32" t="s">
        <v>237</v>
      </c>
      <c r="H73" s="32" t="s">
        <v>238</v>
      </c>
      <c r="I73" s="32" t="s">
        <v>247</v>
      </c>
      <c r="J73" s="32" t="s">
        <v>248</v>
      </c>
      <c r="K73" s="32" t="s">
        <v>241</v>
      </c>
      <c r="L73" s="32" t="s">
        <v>352</v>
      </c>
      <c r="M73" s="33"/>
      <c r="N73" s="32" t="s">
        <v>353</v>
      </c>
      <c r="O73" s="32" t="s">
        <v>354</v>
      </c>
      <c r="P73" s="32" t="s">
        <v>355</v>
      </c>
      <c r="Q73" s="32" t="s">
        <v>356</v>
      </c>
    </row>
    <row r="74" spans="1:17" x14ac:dyDescent="0.25">
      <c r="A74" s="138">
        <v>2016</v>
      </c>
      <c r="B74" s="143" t="s">
        <v>362</v>
      </c>
      <c r="C74" s="34">
        <v>1</v>
      </c>
      <c r="D74" s="35" t="s">
        <v>297</v>
      </c>
      <c r="E74" s="52">
        <v>16</v>
      </c>
      <c r="F74" s="52">
        <v>12</v>
      </c>
      <c r="G74" s="52">
        <v>2</v>
      </c>
      <c r="H74" s="52">
        <v>2</v>
      </c>
      <c r="I74" s="52">
        <v>66</v>
      </c>
      <c r="J74" s="52">
        <v>17</v>
      </c>
      <c r="K74" s="52">
        <v>49</v>
      </c>
      <c r="L74" s="52">
        <v>38</v>
      </c>
      <c r="M74" s="53"/>
      <c r="N74" s="34">
        <v>4.0999999999999996</v>
      </c>
      <c r="O74" s="34">
        <v>1.1000000000000001</v>
      </c>
      <c r="P74" s="34">
        <v>3.1</v>
      </c>
      <c r="Q74" s="34">
        <v>2.4</v>
      </c>
    </row>
    <row r="75" spans="1:17" x14ac:dyDescent="0.25">
      <c r="A75" s="139"/>
      <c r="B75" s="144"/>
      <c r="C75" s="34">
        <v>2</v>
      </c>
      <c r="D75" s="35" t="s">
        <v>257</v>
      </c>
      <c r="E75" s="52">
        <v>16</v>
      </c>
      <c r="F75" s="52">
        <v>11</v>
      </c>
      <c r="G75" s="52">
        <v>3</v>
      </c>
      <c r="H75" s="52">
        <v>2</v>
      </c>
      <c r="I75" s="52">
        <v>34</v>
      </c>
      <c r="J75" s="52">
        <v>13</v>
      </c>
      <c r="K75" s="52">
        <v>21</v>
      </c>
      <c r="L75" s="52">
        <v>36</v>
      </c>
      <c r="M75" s="53"/>
      <c r="N75" s="34">
        <v>2.1</v>
      </c>
      <c r="O75" s="34">
        <v>0.8</v>
      </c>
      <c r="P75" s="34">
        <v>1.3</v>
      </c>
      <c r="Q75" s="34">
        <v>2.2999999999999998</v>
      </c>
    </row>
    <row r="76" spans="1:17" x14ac:dyDescent="0.25">
      <c r="A76" s="139"/>
      <c r="B76" s="144"/>
      <c r="C76" s="38">
        <v>3</v>
      </c>
      <c r="D76" s="39" t="s">
        <v>254</v>
      </c>
      <c r="E76" s="54">
        <v>16</v>
      </c>
      <c r="F76" s="54">
        <v>11</v>
      </c>
      <c r="G76" s="54">
        <v>2</v>
      </c>
      <c r="H76" s="54">
        <v>3</v>
      </c>
      <c r="I76" s="54">
        <v>56</v>
      </c>
      <c r="J76" s="54">
        <v>31</v>
      </c>
      <c r="K76" s="54">
        <v>25</v>
      </c>
      <c r="L76" s="54">
        <v>35</v>
      </c>
      <c r="M76" s="55"/>
      <c r="N76" s="38">
        <v>3.5</v>
      </c>
      <c r="O76" s="38">
        <v>1.9</v>
      </c>
      <c r="P76" s="38">
        <v>1.6</v>
      </c>
      <c r="Q76" s="38">
        <v>2.2000000000000002</v>
      </c>
    </row>
    <row r="77" spans="1:17" x14ac:dyDescent="0.25">
      <c r="A77" s="139"/>
      <c r="B77" s="144"/>
      <c r="C77" s="34">
        <v>4</v>
      </c>
      <c r="D77" s="35" t="s">
        <v>255</v>
      </c>
      <c r="E77" s="52">
        <v>16</v>
      </c>
      <c r="F77" s="52">
        <v>7</v>
      </c>
      <c r="G77" s="52">
        <v>5</v>
      </c>
      <c r="H77" s="52">
        <v>4</v>
      </c>
      <c r="I77" s="52">
        <v>30</v>
      </c>
      <c r="J77" s="52">
        <v>23</v>
      </c>
      <c r="K77" s="52">
        <v>7</v>
      </c>
      <c r="L77" s="52">
        <v>26</v>
      </c>
      <c r="M77" s="53"/>
      <c r="N77" s="34">
        <v>1.9</v>
      </c>
      <c r="O77" s="34">
        <v>1.4</v>
      </c>
      <c r="P77" s="34">
        <v>0.4</v>
      </c>
      <c r="Q77" s="34">
        <v>1.6</v>
      </c>
    </row>
    <row r="78" spans="1:17" x14ac:dyDescent="0.25">
      <c r="A78" s="139"/>
      <c r="B78" s="144"/>
      <c r="C78" s="34">
        <v>5</v>
      </c>
      <c r="D78" s="35" t="s">
        <v>269</v>
      </c>
      <c r="E78" s="52">
        <v>16</v>
      </c>
      <c r="F78" s="52">
        <v>7</v>
      </c>
      <c r="G78" s="52">
        <v>1</v>
      </c>
      <c r="H78" s="52">
        <v>8</v>
      </c>
      <c r="I78" s="52">
        <v>45</v>
      </c>
      <c r="J78" s="52">
        <v>49</v>
      </c>
      <c r="K78" s="56">
        <v>-4</v>
      </c>
      <c r="L78" s="52">
        <v>22</v>
      </c>
      <c r="M78" s="53"/>
      <c r="N78" s="34">
        <v>2.8</v>
      </c>
      <c r="O78" s="34">
        <v>3.1</v>
      </c>
      <c r="P78" s="46">
        <v>-0.3</v>
      </c>
      <c r="Q78" s="34">
        <v>1.4</v>
      </c>
    </row>
    <row r="79" spans="1:17" x14ac:dyDescent="0.25">
      <c r="A79" s="139"/>
      <c r="B79" s="144"/>
      <c r="C79" s="34">
        <v>6</v>
      </c>
      <c r="D79" s="35" t="s">
        <v>303</v>
      </c>
      <c r="E79" s="52">
        <v>16</v>
      </c>
      <c r="F79" s="52">
        <v>5</v>
      </c>
      <c r="G79" s="52">
        <v>2</v>
      </c>
      <c r="H79" s="52">
        <v>9</v>
      </c>
      <c r="I79" s="52">
        <v>26</v>
      </c>
      <c r="J79" s="52">
        <v>38</v>
      </c>
      <c r="K79" s="56">
        <v>-12</v>
      </c>
      <c r="L79" s="52">
        <v>17</v>
      </c>
      <c r="M79" s="53"/>
      <c r="N79" s="34">
        <v>1.6</v>
      </c>
      <c r="O79" s="34">
        <v>2.4</v>
      </c>
      <c r="P79" s="46">
        <v>-0.8</v>
      </c>
      <c r="Q79" s="34">
        <v>1.1000000000000001</v>
      </c>
    </row>
    <row r="80" spans="1:17" x14ac:dyDescent="0.25">
      <c r="A80" s="139"/>
      <c r="B80" s="144"/>
      <c r="C80" s="34">
        <v>7</v>
      </c>
      <c r="D80" s="35" t="s">
        <v>271</v>
      </c>
      <c r="E80" s="52">
        <v>16</v>
      </c>
      <c r="F80" s="52">
        <v>4</v>
      </c>
      <c r="G80" s="52">
        <v>4</v>
      </c>
      <c r="H80" s="52">
        <v>8</v>
      </c>
      <c r="I80" s="52">
        <v>24</v>
      </c>
      <c r="J80" s="52">
        <v>39</v>
      </c>
      <c r="K80" s="56">
        <v>-15</v>
      </c>
      <c r="L80" s="52">
        <v>16</v>
      </c>
      <c r="M80" s="53"/>
      <c r="N80" s="34">
        <v>1.5</v>
      </c>
      <c r="O80" s="34">
        <v>2.4</v>
      </c>
      <c r="P80" s="46">
        <v>-0.9</v>
      </c>
      <c r="Q80" s="34">
        <v>1</v>
      </c>
    </row>
    <row r="81" spans="1:17" x14ac:dyDescent="0.25">
      <c r="A81" s="139"/>
      <c r="B81" s="144"/>
      <c r="C81" s="34">
        <v>8</v>
      </c>
      <c r="D81" s="35" t="s">
        <v>267</v>
      </c>
      <c r="E81" s="52">
        <v>16</v>
      </c>
      <c r="F81" s="52">
        <v>3</v>
      </c>
      <c r="G81" s="52">
        <v>0</v>
      </c>
      <c r="H81" s="52">
        <v>13</v>
      </c>
      <c r="I81" s="52">
        <v>12</v>
      </c>
      <c r="J81" s="52">
        <v>44</v>
      </c>
      <c r="K81" s="56">
        <v>-32</v>
      </c>
      <c r="L81" s="52">
        <v>9</v>
      </c>
      <c r="M81" s="53"/>
      <c r="N81" s="34">
        <v>0.8</v>
      </c>
      <c r="O81" s="34">
        <v>2.8</v>
      </c>
      <c r="P81" s="46">
        <v>-2</v>
      </c>
      <c r="Q81" s="34">
        <v>0.6</v>
      </c>
    </row>
    <row r="82" spans="1:17" x14ac:dyDescent="0.25">
      <c r="A82" s="142"/>
      <c r="B82" s="145"/>
      <c r="C82" s="34">
        <v>9</v>
      </c>
      <c r="D82" s="35" t="s">
        <v>261</v>
      </c>
      <c r="E82" s="52">
        <v>16</v>
      </c>
      <c r="F82" s="52">
        <v>1</v>
      </c>
      <c r="G82" s="52">
        <v>3</v>
      </c>
      <c r="H82" s="52">
        <v>12</v>
      </c>
      <c r="I82" s="52">
        <v>16</v>
      </c>
      <c r="J82" s="52">
        <v>55</v>
      </c>
      <c r="K82" s="56">
        <v>-39</v>
      </c>
      <c r="L82" s="52">
        <v>6</v>
      </c>
      <c r="M82" s="53"/>
      <c r="N82" s="34">
        <v>1</v>
      </c>
      <c r="O82" s="34">
        <v>3.4</v>
      </c>
      <c r="P82" s="46">
        <v>-2.4</v>
      </c>
      <c r="Q82" s="34">
        <v>0.4</v>
      </c>
    </row>
    <row r="83" spans="1:17" x14ac:dyDescent="0.25">
      <c r="A83" s="47"/>
      <c r="B83" s="47"/>
      <c r="C83" s="48"/>
      <c r="D83" s="47"/>
      <c r="E83" s="49"/>
      <c r="F83" s="49"/>
      <c r="G83" s="49"/>
      <c r="H83" s="49"/>
      <c r="I83" s="49"/>
      <c r="J83" s="49"/>
      <c r="K83" s="49"/>
      <c r="L83" s="49"/>
      <c r="M83" s="50"/>
      <c r="N83" s="51"/>
      <c r="O83" s="51"/>
      <c r="P83" s="51"/>
      <c r="Q83" s="51"/>
    </row>
    <row r="84" spans="1:17" x14ac:dyDescent="0.25">
      <c r="A84" s="29"/>
      <c r="B84" s="29"/>
      <c r="C84" s="30"/>
      <c r="D84" s="31"/>
      <c r="E84" s="32" t="s">
        <v>351</v>
      </c>
      <c r="F84" s="32" t="s">
        <v>236</v>
      </c>
      <c r="G84" s="32" t="s">
        <v>237</v>
      </c>
      <c r="H84" s="32" t="s">
        <v>238</v>
      </c>
      <c r="I84" s="32" t="s">
        <v>247</v>
      </c>
      <c r="J84" s="32" t="s">
        <v>248</v>
      </c>
      <c r="K84" s="32" t="s">
        <v>241</v>
      </c>
      <c r="L84" s="32" t="s">
        <v>352</v>
      </c>
      <c r="M84" s="33"/>
      <c r="N84" s="32" t="s">
        <v>353</v>
      </c>
      <c r="O84" s="32" t="s">
        <v>354</v>
      </c>
      <c r="P84" s="32" t="s">
        <v>355</v>
      </c>
      <c r="Q84" s="32" t="s">
        <v>356</v>
      </c>
    </row>
    <row r="85" spans="1:17" x14ac:dyDescent="0.25">
      <c r="A85" s="138">
        <v>2017</v>
      </c>
      <c r="B85" s="143" t="s">
        <v>367</v>
      </c>
      <c r="C85" s="38">
        <v>1</v>
      </c>
      <c r="D85" s="39" t="s">
        <v>254</v>
      </c>
      <c r="E85" s="54">
        <v>18</v>
      </c>
      <c r="F85" s="54">
        <v>15</v>
      </c>
      <c r="G85" s="54">
        <v>0</v>
      </c>
      <c r="H85" s="54">
        <v>3</v>
      </c>
      <c r="I85" s="54">
        <v>69</v>
      </c>
      <c r="J85" s="54">
        <v>24</v>
      </c>
      <c r="K85" s="54">
        <v>45</v>
      </c>
      <c r="L85" s="54">
        <v>45</v>
      </c>
      <c r="M85" s="55"/>
      <c r="N85" s="38">
        <v>3.8</v>
      </c>
      <c r="O85" s="38">
        <v>1.3</v>
      </c>
      <c r="P85" s="38">
        <v>2.5</v>
      </c>
      <c r="Q85" s="38">
        <v>2.5</v>
      </c>
    </row>
    <row r="86" spans="1:17" x14ac:dyDescent="0.25">
      <c r="A86" s="139"/>
      <c r="B86" s="144"/>
      <c r="C86" s="34">
        <v>2</v>
      </c>
      <c r="D86" s="35" t="s">
        <v>366</v>
      </c>
      <c r="E86" s="52">
        <v>18</v>
      </c>
      <c r="F86" s="52">
        <v>14</v>
      </c>
      <c r="G86" s="52">
        <v>0</v>
      </c>
      <c r="H86" s="52">
        <v>4</v>
      </c>
      <c r="I86" s="52">
        <v>68</v>
      </c>
      <c r="J86" s="52">
        <v>24</v>
      </c>
      <c r="K86" s="52">
        <v>44</v>
      </c>
      <c r="L86" s="52">
        <v>42</v>
      </c>
      <c r="M86" s="53"/>
      <c r="N86" s="34">
        <v>3.8</v>
      </c>
      <c r="O86" s="34">
        <v>1.3</v>
      </c>
      <c r="P86" s="34">
        <v>2.4</v>
      </c>
      <c r="Q86" s="34">
        <v>2.2999999999999998</v>
      </c>
    </row>
    <row r="87" spans="1:17" x14ac:dyDescent="0.25">
      <c r="A87" s="139"/>
      <c r="B87" s="144"/>
      <c r="C87" s="34">
        <v>3</v>
      </c>
      <c r="D87" s="35" t="s">
        <v>314</v>
      </c>
      <c r="E87" s="52">
        <v>18</v>
      </c>
      <c r="F87" s="52">
        <v>13</v>
      </c>
      <c r="G87" s="52">
        <v>0</v>
      </c>
      <c r="H87" s="52">
        <v>5</v>
      </c>
      <c r="I87" s="52">
        <v>39</v>
      </c>
      <c r="J87" s="52">
        <v>24</v>
      </c>
      <c r="K87" s="52">
        <v>15</v>
      </c>
      <c r="L87" s="52">
        <v>39</v>
      </c>
      <c r="M87" s="53"/>
      <c r="N87" s="34">
        <v>2.2000000000000002</v>
      </c>
      <c r="O87" s="34">
        <v>1.3</v>
      </c>
      <c r="P87" s="34">
        <v>0.8</v>
      </c>
      <c r="Q87" s="34">
        <v>2.2000000000000002</v>
      </c>
    </row>
    <row r="88" spans="1:17" x14ac:dyDescent="0.25">
      <c r="A88" s="139"/>
      <c r="B88" s="144"/>
      <c r="C88" s="34">
        <v>4</v>
      </c>
      <c r="D88" s="35" t="s">
        <v>368</v>
      </c>
      <c r="E88" s="52">
        <v>18</v>
      </c>
      <c r="F88" s="52">
        <v>12</v>
      </c>
      <c r="G88" s="52">
        <v>1</v>
      </c>
      <c r="H88" s="52">
        <v>5</v>
      </c>
      <c r="I88" s="52">
        <v>47</v>
      </c>
      <c r="J88" s="52">
        <v>26</v>
      </c>
      <c r="K88" s="52">
        <v>21</v>
      </c>
      <c r="L88" s="52">
        <v>37</v>
      </c>
      <c r="M88" s="53"/>
      <c r="N88" s="34">
        <v>2.6</v>
      </c>
      <c r="O88" s="34">
        <v>1.4</v>
      </c>
      <c r="P88" s="34">
        <v>1.2</v>
      </c>
      <c r="Q88" s="34">
        <v>2.1</v>
      </c>
    </row>
    <row r="89" spans="1:17" x14ac:dyDescent="0.25">
      <c r="A89" s="139"/>
      <c r="B89" s="144"/>
      <c r="C89" s="34">
        <v>5</v>
      </c>
      <c r="D89" s="35" t="s">
        <v>256</v>
      </c>
      <c r="E89" s="52">
        <v>18</v>
      </c>
      <c r="F89" s="52">
        <v>8</v>
      </c>
      <c r="G89" s="52">
        <v>3</v>
      </c>
      <c r="H89" s="52">
        <v>7</v>
      </c>
      <c r="I89" s="52">
        <v>56</v>
      </c>
      <c r="J89" s="52">
        <v>36</v>
      </c>
      <c r="K89" s="52">
        <v>20</v>
      </c>
      <c r="L89" s="52">
        <v>27</v>
      </c>
      <c r="M89" s="53"/>
      <c r="N89" s="34">
        <v>3.1</v>
      </c>
      <c r="O89" s="34">
        <v>2</v>
      </c>
      <c r="P89" s="34">
        <v>1.1000000000000001</v>
      </c>
      <c r="Q89" s="34">
        <v>1.5</v>
      </c>
    </row>
    <row r="90" spans="1:17" x14ac:dyDescent="0.25">
      <c r="A90" s="139"/>
      <c r="B90" s="144"/>
      <c r="C90" s="34">
        <v>6</v>
      </c>
      <c r="D90" s="35" t="s">
        <v>369</v>
      </c>
      <c r="E90" s="52">
        <v>18</v>
      </c>
      <c r="F90" s="52">
        <v>7</v>
      </c>
      <c r="G90" s="52">
        <v>5</v>
      </c>
      <c r="H90" s="52">
        <v>6</v>
      </c>
      <c r="I90" s="52">
        <v>34</v>
      </c>
      <c r="J90" s="52">
        <v>31</v>
      </c>
      <c r="K90" s="52">
        <v>3</v>
      </c>
      <c r="L90" s="52">
        <v>26</v>
      </c>
      <c r="M90" s="53"/>
      <c r="N90" s="34">
        <v>1.9</v>
      </c>
      <c r="O90" s="34">
        <v>1.7</v>
      </c>
      <c r="P90" s="34">
        <v>0.2</v>
      </c>
      <c r="Q90" s="34">
        <v>1.4</v>
      </c>
    </row>
    <row r="91" spans="1:17" x14ac:dyDescent="0.25">
      <c r="A91" s="139"/>
      <c r="B91" s="144"/>
      <c r="C91" s="34">
        <v>7</v>
      </c>
      <c r="D91" s="35" t="s">
        <v>258</v>
      </c>
      <c r="E91" s="52">
        <v>18</v>
      </c>
      <c r="F91" s="52">
        <v>7</v>
      </c>
      <c r="G91" s="52">
        <v>3</v>
      </c>
      <c r="H91" s="52">
        <v>8</v>
      </c>
      <c r="I91" s="52">
        <v>36</v>
      </c>
      <c r="J91" s="52">
        <v>33</v>
      </c>
      <c r="K91" s="52">
        <v>3</v>
      </c>
      <c r="L91" s="52">
        <v>24</v>
      </c>
      <c r="M91" s="53"/>
      <c r="N91" s="34">
        <v>2</v>
      </c>
      <c r="O91" s="34">
        <v>1.8</v>
      </c>
      <c r="P91" s="34">
        <v>0.2</v>
      </c>
      <c r="Q91" s="34">
        <v>1.3</v>
      </c>
    </row>
    <row r="92" spans="1:17" x14ac:dyDescent="0.25">
      <c r="A92" s="139"/>
      <c r="B92" s="144"/>
      <c r="C92" s="34">
        <v>8</v>
      </c>
      <c r="D92" s="35" t="s">
        <v>257</v>
      </c>
      <c r="E92" s="52">
        <v>18</v>
      </c>
      <c r="F92" s="52">
        <v>4</v>
      </c>
      <c r="G92" s="52">
        <v>1</v>
      </c>
      <c r="H92" s="52">
        <v>13</v>
      </c>
      <c r="I92" s="52">
        <v>20</v>
      </c>
      <c r="J92" s="52">
        <v>47</v>
      </c>
      <c r="K92" s="56">
        <v>-27</v>
      </c>
      <c r="L92" s="52">
        <v>13</v>
      </c>
      <c r="M92" s="53"/>
      <c r="N92" s="34">
        <v>1.1000000000000001</v>
      </c>
      <c r="O92" s="34">
        <v>2.6</v>
      </c>
      <c r="P92" s="46">
        <v>-1.5</v>
      </c>
      <c r="Q92" s="34">
        <v>0.7</v>
      </c>
    </row>
    <row r="93" spans="1:17" x14ac:dyDescent="0.25">
      <c r="A93" s="142"/>
      <c r="B93" s="145"/>
      <c r="C93" s="34">
        <v>9</v>
      </c>
      <c r="D93" s="35" t="s">
        <v>277</v>
      </c>
      <c r="E93" s="52">
        <v>18</v>
      </c>
      <c r="F93" s="52">
        <v>2</v>
      </c>
      <c r="G93" s="52">
        <v>1</v>
      </c>
      <c r="H93" s="52">
        <v>15</v>
      </c>
      <c r="I93" s="52">
        <v>20</v>
      </c>
      <c r="J93" s="52">
        <v>78</v>
      </c>
      <c r="K93" s="56">
        <v>-58</v>
      </c>
      <c r="L93" s="52">
        <v>7</v>
      </c>
      <c r="M93" s="53"/>
      <c r="N93" s="34">
        <v>1.1000000000000001</v>
      </c>
      <c r="O93" s="34">
        <v>4.3</v>
      </c>
      <c r="P93" s="46">
        <v>-3.2</v>
      </c>
      <c r="Q93" s="34">
        <v>0.4</v>
      </c>
    </row>
    <row r="94" spans="1:17" x14ac:dyDescent="0.25">
      <c r="A94" s="47"/>
      <c r="B94" s="47"/>
      <c r="C94" s="48"/>
      <c r="D94" s="47"/>
      <c r="E94" s="49"/>
      <c r="F94" s="49"/>
      <c r="G94" s="49"/>
      <c r="H94" s="49"/>
      <c r="I94" s="49"/>
      <c r="J94" s="49"/>
      <c r="K94" s="49"/>
      <c r="L94" s="49"/>
      <c r="M94" s="50"/>
      <c r="N94" s="51"/>
      <c r="O94" s="51"/>
      <c r="P94" s="51"/>
      <c r="Q94" s="51"/>
    </row>
    <row r="95" spans="1:17" x14ac:dyDescent="0.25">
      <c r="A95" s="29"/>
      <c r="B95" s="29"/>
      <c r="C95" s="30"/>
      <c r="D95" s="31"/>
      <c r="E95" s="32" t="s">
        <v>351</v>
      </c>
      <c r="F95" s="32" t="s">
        <v>236</v>
      </c>
      <c r="G95" s="32" t="s">
        <v>237</v>
      </c>
      <c r="H95" s="32" t="s">
        <v>238</v>
      </c>
      <c r="I95" s="32" t="s">
        <v>247</v>
      </c>
      <c r="J95" s="32" t="s">
        <v>248</v>
      </c>
      <c r="K95" s="32" t="s">
        <v>241</v>
      </c>
      <c r="L95" s="32" t="s">
        <v>352</v>
      </c>
      <c r="M95" s="33"/>
      <c r="N95" s="32" t="s">
        <v>353</v>
      </c>
      <c r="O95" s="32" t="s">
        <v>354</v>
      </c>
      <c r="P95" s="32" t="s">
        <v>355</v>
      </c>
      <c r="Q95" s="32" t="s">
        <v>356</v>
      </c>
    </row>
    <row r="96" spans="1:17" x14ac:dyDescent="0.25">
      <c r="A96" s="138">
        <v>2018</v>
      </c>
      <c r="B96" s="143" t="s">
        <v>370</v>
      </c>
      <c r="C96" s="34">
        <v>1</v>
      </c>
      <c r="D96" s="57" t="s">
        <v>334</v>
      </c>
      <c r="E96" s="34">
        <v>18</v>
      </c>
      <c r="F96" s="34">
        <v>12</v>
      </c>
      <c r="G96" s="34">
        <v>5</v>
      </c>
      <c r="H96" s="34">
        <v>1</v>
      </c>
      <c r="I96" s="34">
        <v>52</v>
      </c>
      <c r="J96" s="34">
        <v>20</v>
      </c>
      <c r="K96" s="34">
        <v>32</v>
      </c>
      <c r="L96" s="34">
        <v>41</v>
      </c>
      <c r="M96" s="58"/>
      <c r="N96" s="34">
        <v>2.9</v>
      </c>
      <c r="O96" s="34">
        <v>1.1000000000000001</v>
      </c>
      <c r="P96" s="34">
        <v>1.8</v>
      </c>
      <c r="Q96" s="34">
        <v>2.2999999999999998</v>
      </c>
    </row>
    <row r="97" spans="1:17" x14ac:dyDescent="0.25">
      <c r="A97" s="139"/>
      <c r="B97" s="144"/>
      <c r="C97" s="34">
        <v>2</v>
      </c>
      <c r="D97" s="57" t="s">
        <v>294</v>
      </c>
      <c r="E97" s="34">
        <v>18</v>
      </c>
      <c r="F97" s="34">
        <v>10</v>
      </c>
      <c r="G97" s="34">
        <v>5</v>
      </c>
      <c r="H97" s="34">
        <v>3</v>
      </c>
      <c r="I97" s="34">
        <v>39</v>
      </c>
      <c r="J97" s="34">
        <v>24</v>
      </c>
      <c r="K97" s="34">
        <v>15</v>
      </c>
      <c r="L97" s="34">
        <v>35</v>
      </c>
      <c r="M97" s="58"/>
      <c r="N97" s="34">
        <v>2.2000000000000002</v>
      </c>
      <c r="O97" s="34">
        <v>1.3</v>
      </c>
      <c r="P97" s="34">
        <v>0.8</v>
      </c>
      <c r="Q97" s="34">
        <v>1.9</v>
      </c>
    </row>
    <row r="98" spans="1:17" x14ac:dyDescent="0.25">
      <c r="A98" s="139"/>
      <c r="B98" s="144"/>
      <c r="C98" s="34">
        <v>3</v>
      </c>
      <c r="D98" s="57" t="s">
        <v>312</v>
      </c>
      <c r="E98" s="34">
        <v>18</v>
      </c>
      <c r="F98" s="34">
        <v>10</v>
      </c>
      <c r="G98" s="34">
        <v>3</v>
      </c>
      <c r="H98" s="34">
        <v>5</v>
      </c>
      <c r="I98" s="34">
        <v>37</v>
      </c>
      <c r="J98" s="34">
        <v>25</v>
      </c>
      <c r="K98" s="34">
        <v>12</v>
      </c>
      <c r="L98" s="34">
        <v>33</v>
      </c>
      <c r="M98" s="58"/>
      <c r="N98" s="34">
        <v>2.1</v>
      </c>
      <c r="O98" s="34">
        <v>1.4</v>
      </c>
      <c r="P98" s="34">
        <v>0.7</v>
      </c>
      <c r="Q98" s="34">
        <v>1.8</v>
      </c>
    </row>
    <row r="99" spans="1:17" x14ac:dyDescent="0.25">
      <c r="A99" s="139"/>
      <c r="B99" s="144"/>
      <c r="C99" s="38">
        <v>4</v>
      </c>
      <c r="D99" s="39" t="s">
        <v>254</v>
      </c>
      <c r="E99" s="38">
        <v>18</v>
      </c>
      <c r="F99" s="38">
        <v>10</v>
      </c>
      <c r="G99" s="38">
        <v>2</v>
      </c>
      <c r="H99" s="38">
        <v>6</v>
      </c>
      <c r="I99" s="38">
        <v>58</v>
      </c>
      <c r="J99" s="38">
        <v>34</v>
      </c>
      <c r="K99" s="38">
        <v>24</v>
      </c>
      <c r="L99" s="38">
        <v>32</v>
      </c>
      <c r="M99" s="59"/>
      <c r="N99" s="38">
        <v>3.2</v>
      </c>
      <c r="O99" s="38">
        <v>1.9</v>
      </c>
      <c r="P99" s="38">
        <v>1.3</v>
      </c>
      <c r="Q99" s="38">
        <v>1.8</v>
      </c>
    </row>
    <row r="100" spans="1:17" x14ac:dyDescent="0.25">
      <c r="A100" s="139"/>
      <c r="B100" s="144"/>
      <c r="C100" s="34">
        <v>5</v>
      </c>
      <c r="D100" s="57" t="s">
        <v>286</v>
      </c>
      <c r="E100" s="34">
        <v>18</v>
      </c>
      <c r="F100" s="34">
        <v>9</v>
      </c>
      <c r="G100" s="34">
        <v>4</v>
      </c>
      <c r="H100" s="34">
        <v>5</v>
      </c>
      <c r="I100" s="34">
        <v>55</v>
      </c>
      <c r="J100" s="34">
        <v>35</v>
      </c>
      <c r="K100" s="34">
        <v>20</v>
      </c>
      <c r="L100" s="34">
        <v>31</v>
      </c>
      <c r="M100" s="58"/>
      <c r="N100" s="34">
        <v>3.1</v>
      </c>
      <c r="O100" s="34">
        <v>1.9</v>
      </c>
      <c r="P100" s="34">
        <v>1.1000000000000001</v>
      </c>
      <c r="Q100" s="34">
        <v>1.7</v>
      </c>
    </row>
    <row r="101" spans="1:17" x14ac:dyDescent="0.25">
      <c r="A101" s="139"/>
      <c r="B101" s="144"/>
      <c r="C101" s="34">
        <v>6</v>
      </c>
      <c r="D101" s="57" t="s">
        <v>275</v>
      </c>
      <c r="E101" s="34">
        <v>18</v>
      </c>
      <c r="F101" s="34">
        <v>6</v>
      </c>
      <c r="G101" s="34">
        <v>3</v>
      </c>
      <c r="H101" s="34">
        <v>9</v>
      </c>
      <c r="I101" s="34">
        <v>46</v>
      </c>
      <c r="J101" s="34">
        <v>51</v>
      </c>
      <c r="K101" s="46">
        <v>-5</v>
      </c>
      <c r="L101" s="34">
        <v>21</v>
      </c>
      <c r="M101" s="58"/>
      <c r="N101" s="34">
        <v>2.6</v>
      </c>
      <c r="O101" s="34">
        <v>2.8</v>
      </c>
      <c r="P101" s="46">
        <v>-0.3</v>
      </c>
      <c r="Q101" s="34">
        <v>1.2</v>
      </c>
    </row>
    <row r="102" spans="1:17" x14ac:dyDescent="0.25">
      <c r="A102" s="139"/>
      <c r="B102" s="144"/>
      <c r="C102" s="34">
        <v>7</v>
      </c>
      <c r="D102" s="57" t="s">
        <v>278</v>
      </c>
      <c r="E102" s="34">
        <v>18</v>
      </c>
      <c r="F102" s="34">
        <v>6</v>
      </c>
      <c r="G102" s="34">
        <v>2</v>
      </c>
      <c r="H102" s="34">
        <v>10</v>
      </c>
      <c r="I102" s="34">
        <v>32</v>
      </c>
      <c r="J102" s="34">
        <v>47</v>
      </c>
      <c r="K102" s="46">
        <v>-15</v>
      </c>
      <c r="L102" s="34">
        <v>20</v>
      </c>
      <c r="M102" s="58"/>
      <c r="N102" s="34">
        <v>1.8</v>
      </c>
      <c r="O102" s="34">
        <v>2.6</v>
      </c>
      <c r="P102" s="46">
        <v>-0.8</v>
      </c>
      <c r="Q102" s="34">
        <v>1.1000000000000001</v>
      </c>
    </row>
    <row r="103" spans="1:17" x14ac:dyDescent="0.25">
      <c r="A103" s="139"/>
      <c r="B103" s="144"/>
      <c r="C103" s="34">
        <v>8</v>
      </c>
      <c r="D103" s="57" t="s">
        <v>309</v>
      </c>
      <c r="E103" s="34">
        <v>18</v>
      </c>
      <c r="F103" s="34">
        <v>5</v>
      </c>
      <c r="G103" s="34">
        <v>4</v>
      </c>
      <c r="H103" s="34">
        <v>9</v>
      </c>
      <c r="I103" s="34">
        <v>22</v>
      </c>
      <c r="J103" s="34">
        <v>33</v>
      </c>
      <c r="K103" s="46">
        <v>-11</v>
      </c>
      <c r="L103" s="34">
        <v>19</v>
      </c>
      <c r="M103" s="58"/>
      <c r="N103" s="34">
        <v>1.2</v>
      </c>
      <c r="O103" s="34">
        <v>1.8</v>
      </c>
      <c r="P103" s="46">
        <v>-0.6</v>
      </c>
      <c r="Q103" s="34">
        <v>1.1000000000000001</v>
      </c>
    </row>
    <row r="104" spans="1:17" x14ac:dyDescent="0.25">
      <c r="A104" s="139"/>
      <c r="B104" s="144"/>
      <c r="C104" s="34">
        <v>9</v>
      </c>
      <c r="D104" s="57" t="s">
        <v>279</v>
      </c>
      <c r="E104" s="34">
        <v>18</v>
      </c>
      <c r="F104" s="34">
        <v>4</v>
      </c>
      <c r="G104" s="34">
        <v>5</v>
      </c>
      <c r="H104" s="34">
        <v>9</v>
      </c>
      <c r="I104" s="34">
        <v>35</v>
      </c>
      <c r="J104" s="34">
        <v>51</v>
      </c>
      <c r="K104" s="46">
        <v>-16</v>
      </c>
      <c r="L104" s="34">
        <v>17</v>
      </c>
      <c r="M104" s="58"/>
      <c r="N104" s="34">
        <v>1.9</v>
      </c>
      <c r="O104" s="34">
        <v>2.8</v>
      </c>
      <c r="P104" s="46">
        <v>-0.9</v>
      </c>
      <c r="Q104" s="34">
        <v>0.9</v>
      </c>
    </row>
    <row r="105" spans="1:17" x14ac:dyDescent="0.25">
      <c r="A105" s="142"/>
      <c r="B105" s="145"/>
      <c r="C105" s="34">
        <v>10</v>
      </c>
      <c r="D105" s="57" t="s">
        <v>263</v>
      </c>
      <c r="E105" s="34">
        <v>18</v>
      </c>
      <c r="F105" s="34">
        <v>1</v>
      </c>
      <c r="G105" s="34">
        <v>1</v>
      </c>
      <c r="H105" s="34">
        <v>16</v>
      </c>
      <c r="I105" s="34">
        <v>10</v>
      </c>
      <c r="J105" s="34">
        <v>66</v>
      </c>
      <c r="K105" s="46">
        <v>-56</v>
      </c>
      <c r="L105" s="34">
        <v>4</v>
      </c>
      <c r="M105" s="58"/>
      <c r="N105" s="34">
        <v>0.6</v>
      </c>
      <c r="O105" s="34">
        <v>3.7</v>
      </c>
      <c r="P105" s="46">
        <v>-3.1</v>
      </c>
      <c r="Q105" s="34">
        <v>0.2</v>
      </c>
    </row>
    <row r="106" spans="1:17" x14ac:dyDescent="0.25">
      <c r="A106" s="47"/>
      <c r="B106" s="47"/>
      <c r="C106" s="48"/>
      <c r="D106" s="47"/>
      <c r="E106" s="49"/>
      <c r="F106" s="49"/>
      <c r="G106" s="49"/>
      <c r="H106" s="49"/>
      <c r="I106" s="49"/>
      <c r="J106" s="49"/>
      <c r="K106" s="49"/>
      <c r="L106" s="49"/>
      <c r="M106" s="50"/>
      <c r="N106" s="51"/>
      <c r="O106" s="51"/>
      <c r="P106" s="51"/>
      <c r="Q106" s="51"/>
    </row>
    <row r="107" spans="1:17" x14ac:dyDescent="0.25">
      <c r="A107" s="29"/>
      <c r="B107" s="29"/>
      <c r="C107" s="30"/>
      <c r="D107" s="31"/>
      <c r="E107" s="32" t="s">
        <v>351</v>
      </c>
      <c r="F107" s="32" t="s">
        <v>236</v>
      </c>
      <c r="G107" s="32" t="s">
        <v>237</v>
      </c>
      <c r="H107" s="32" t="s">
        <v>238</v>
      </c>
      <c r="I107" s="32" t="s">
        <v>247</v>
      </c>
      <c r="J107" s="32" t="s">
        <v>248</v>
      </c>
      <c r="K107" s="32" t="s">
        <v>241</v>
      </c>
      <c r="L107" s="32" t="s">
        <v>352</v>
      </c>
      <c r="M107" s="33"/>
      <c r="N107" s="32" t="s">
        <v>353</v>
      </c>
      <c r="O107" s="32" t="s">
        <v>354</v>
      </c>
      <c r="P107" s="32" t="s">
        <v>355</v>
      </c>
      <c r="Q107" s="32" t="s">
        <v>356</v>
      </c>
    </row>
    <row r="108" spans="1:17" x14ac:dyDescent="0.25">
      <c r="A108" s="138">
        <v>2019</v>
      </c>
      <c r="B108" s="143" t="s">
        <v>370</v>
      </c>
      <c r="C108" s="38">
        <v>1</v>
      </c>
      <c r="D108" s="39" t="s">
        <v>254</v>
      </c>
      <c r="E108" s="38">
        <v>22</v>
      </c>
      <c r="F108" s="38">
        <v>20</v>
      </c>
      <c r="G108" s="38">
        <v>1</v>
      </c>
      <c r="H108" s="38">
        <v>1</v>
      </c>
      <c r="I108" s="38">
        <v>104</v>
      </c>
      <c r="J108" s="38">
        <v>33</v>
      </c>
      <c r="K108" s="38">
        <v>71</v>
      </c>
      <c r="L108" s="38">
        <v>61</v>
      </c>
      <c r="M108" s="55"/>
      <c r="N108" s="42">
        <v>4.7</v>
      </c>
      <c r="O108" s="42">
        <v>1.5</v>
      </c>
      <c r="P108" s="42">
        <v>3.2</v>
      </c>
      <c r="Q108" s="42">
        <v>2.8</v>
      </c>
    </row>
    <row r="109" spans="1:17" x14ac:dyDescent="0.25">
      <c r="A109" s="139"/>
      <c r="B109" s="144"/>
      <c r="C109" s="34">
        <v>2</v>
      </c>
      <c r="D109" s="57" t="s">
        <v>307</v>
      </c>
      <c r="E109" s="34">
        <v>22</v>
      </c>
      <c r="F109" s="34">
        <v>20</v>
      </c>
      <c r="G109" s="34">
        <v>0</v>
      </c>
      <c r="H109" s="34">
        <v>2</v>
      </c>
      <c r="I109" s="34">
        <v>79</v>
      </c>
      <c r="J109" s="34">
        <v>26</v>
      </c>
      <c r="K109" s="34">
        <v>53</v>
      </c>
      <c r="L109" s="60">
        <v>60</v>
      </c>
      <c r="M109" s="53"/>
      <c r="N109" s="61">
        <v>3.6</v>
      </c>
      <c r="O109" s="61">
        <v>1.2</v>
      </c>
      <c r="P109" s="61">
        <v>2.4</v>
      </c>
      <c r="Q109" s="61">
        <v>2.7</v>
      </c>
    </row>
    <row r="110" spans="1:17" x14ac:dyDescent="0.25">
      <c r="A110" s="139"/>
      <c r="B110" s="144"/>
      <c r="C110" s="34">
        <v>3</v>
      </c>
      <c r="D110" s="57" t="s">
        <v>312</v>
      </c>
      <c r="E110" s="34">
        <v>22</v>
      </c>
      <c r="F110" s="34">
        <v>12</v>
      </c>
      <c r="G110" s="34">
        <v>3</v>
      </c>
      <c r="H110" s="34">
        <v>7</v>
      </c>
      <c r="I110" s="34">
        <v>56</v>
      </c>
      <c r="J110" s="34">
        <v>41</v>
      </c>
      <c r="K110" s="34">
        <v>15</v>
      </c>
      <c r="L110" s="60">
        <v>39</v>
      </c>
      <c r="M110" s="53"/>
      <c r="N110" s="61">
        <v>2.5</v>
      </c>
      <c r="O110" s="61">
        <v>1.9</v>
      </c>
      <c r="P110" s="61">
        <v>0.7</v>
      </c>
      <c r="Q110" s="61">
        <v>1.8</v>
      </c>
    </row>
    <row r="111" spans="1:17" x14ac:dyDescent="0.25">
      <c r="A111" s="139"/>
      <c r="B111" s="144"/>
      <c r="C111" s="34">
        <v>4</v>
      </c>
      <c r="D111" s="57" t="s">
        <v>284</v>
      </c>
      <c r="E111" s="34">
        <v>22</v>
      </c>
      <c r="F111" s="34">
        <v>12</v>
      </c>
      <c r="G111" s="34">
        <v>2</v>
      </c>
      <c r="H111" s="34">
        <v>8</v>
      </c>
      <c r="I111" s="34">
        <v>57</v>
      </c>
      <c r="J111" s="34">
        <v>46</v>
      </c>
      <c r="K111" s="34">
        <v>11</v>
      </c>
      <c r="L111" s="60">
        <v>38</v>
      </c>
      <c r="M111" s="53"/>
      <c r="N111" s="61">
        <v>2.6</v>
      </c>
      <c r="O111" s="61">
        <v>2.1</v>
      </c>
      <c r="P111" s="61">
        <v>0.5</v>
      </c>
      <c r="Q111" s="61">
        <v>1.7</v>
      </c>
    </row>
    <row r="112" spans="1:17" x14ac:dyDescent="0.25">
      <c r="A112" s="139"/>
      <c r="B112" s="144"/>
      <c r="C112" s="34">
        <v>5</v>
      </c>
      <c r="D112" s="57" t="s">
        <v>288</v>
      </c>
      <c r="E112" s="34">
        <v>22</v>
      </c>
      <c r="F112" s="34">
        <v>11</v>
      </c>
      <c r="G112" s="34">
        <v>2</v>
      </c>
      <c r="H112" s="34">
        <v>9</v>
      </c>
      <c r="I112" s="34">
        <v>54</v>
      </c>
      <c r="J112" s="34">
        <v>35</v>
      </c>
      <c r="K112" s="34">
        <v>19</v>
      </c>
      <c r="L112" s="60">
        <v>35</v>
      </c>
      <c r="M112" s="53"/>
      <c r="N112" s="61">
        <v>2.5</v>
      </c>
      <c r="O112" s="61">
        <v>1.6</v>
      </c>
      <c r="P112" s="61">
        <v>0.9</v>
      </c>
      <c r="Q112" s="61">
        <v>1.6</v>
      </c>
    </row>
    <row r="113" spans="1:17" x14ac:dyDescent="0.25">
      <c r="A113" s="139"/>
      <c r="B113" s="144"/>
      <c r="C113" s="34">
        <v>6</v>
      </c>
      <c r="D113" s="57" t="s">
        <v>278</v>
      </c>
      <c r="E113" s="34">
        <v>22</v>
      </c>
      <c r="F113" s="34">
        <v>10</v>
      </c>
      <c r="G113" s="34">
        <v>2</v>
      </c>
      <c r="H113" s="34">
        <v>10</v>
      </c>
      <c r="I113" s="34">
        <v>40</v>
      </c>
      <c r="J113" s="34">
        <v>46</v>
      </c>
      <c r="K113" s="46">
        <v>-6</v>
      </c>
      <c r="L113" s="60">
        <v>32</v>
      </c>
      <c r="M113" s="53"/>
      <c r="N113" s="61">
        <v>1.8</v>
      </c>
      <c r="O113" s="61">
        <v>2.1</v>
      </c>
      <c r="P113" s="45">
        <v>-0.3</v>
      </c>
      <c r="Q113" s="61">
        <v>1.5</v>
      </c>
    </row>
    <row r="114" spans="1:17" x14ac:dyDescent="0.25">
      <c r="A114" s="139"/>
      <c r="B114" s="144"/>
      <c r="C114" s="34">
        <v>7</v>
      </c>
      <c r="D114" s="57" t="s">
        <v>286</v>
      </c>
      <c r="E114" s="34">
        <v>22</v>
      </c>
      <c r="F114" s="34">
        <v>8</v>
      </c>
      <c r="G114" s="34">
        <v>3</v>
      </c>
      <c r="H114" s="34">
        <v>11</v>
      </c>
      <c r="I114" s="34">
        <v>42</v>
      </c>
      <c r="J114" s="34">
        <v>54</v>
      </c>
      <c r="K114" s="46">
        <v>-12</v>
      </c>
      <c r="L114" s="60">
        <v>27</v>
      </c>
      <c r="M114" s="53"/>
      <c r="N114" s="61">
        <v>1.9</v>
      </c>
      <c r="O114" s="61">
        <v>2.5</v>
      </c>
      <c r="P114" s="45">
        <v>-0.5</v>
      </c>
      <c r="Q114" s="61">
        <v>1.2</v>
      </c>
    </row>
    <row r="115" spans="1:17" x14ac:dyDescent="0.25">
      <c r="A115" s="139"/>
      <c r="B115" s="144"/>
      <c r="C115" s="34">
        <v>8</v>
      </c>
      <c r="D115" s="57" t="s">
        <v>279</v>
      </c>
      <c r="E115" s="34">
        <v>22</v>
      </c>
      <c r="F115" s="34">
        <v>8</v>
      </c>
      <c r="G115" s="34">
        <v>3</v>
      </c>
      <c r="H115" s="34">
        <v>11</v>
      </c>
      <c r="I115" s="34">
        <v>35</v>
      </c>
      <c r="J115" s="34">
        <v>57</v>
      </c>
      <c r="K115" s="46">
        <v>-22</v>
      </c>
      <c r="L115" s="60">
        <v>27</v>
      </c>
      <c r="M115" s="53"/>
      <c r="N115" s="61">
        <v>1.6</v>
      </c>
      <c r="O115" s="61">
        <v>2.6</v>
      </c>
      <c r="P115" s="45">
        <v>-1</v>
      </c>
      <c r="Q115" s="61">
        <v>1.2</v>
      </c>
    </row>
    <row r="116" spans="1:17" x14ac:dyDescent="0.25">
      <c r="A116" s="139"/>
      <c r="B116" s="144"/>
      <c r="C116" s="34">
        <v>9</v>
      </c>
      <c r="D116" s="57" t="s">
        <v>253</v>
      </c>
      <c r="E116" s="34">
        <v>22</v>
      </c>
      <c r="F116" s="34">
        <v>6</v>
      </c>
      <c r="G116" s="34">
        <v>5</v>
      </c>
      <c r="H116" s="34">
        <v>11</v>
      </c>
      <c r="I116" s="34">
        <v>52</v>
      </c>
      <c r="J116" s="34">
        <v>55</v>
      </c>
      <c r="K116" s="46">
        <v>-3</v>
      </c>
      <c r="L116" s="60">
        <v>23</v>
      </c>
      <c r="M116" s="53"/>
      <c r="N116" s="61">
        <v>2.4</v>
      </c>
      <c r="O116" s="61">
        <v>2.5</v>
      </c>
      <c r="P116" s="45">
        <v>-0.1</v>
      </c>
      <c r="Q116" s="61">
        <v>1</v>
      </c>
    </row>
    <row r="117" spans="1:17" x14ac:dyDescent="0.25">
      <c r="A117" s="139"/>
      <c r="B117" s="144"/>
      <c r="C117" s="34">
        <v>10</v>
      </c>
      <c r="D117" s="57" t="s">
        <v>282</v>
      </c>
      <c r="E117" s="34">
        <v>22</v>
      </c>
      <c r="F117" s="34">
        <v>5</v>
      </c>
      <c r="G117" s="34">
        <v>4</v>
      </c>
      <c r="H117" s="34">
        <v>13</v>
      </c>
      <c r="I117" s="34">
        <v>26</v>
      </c>
      <c r="J117" s="34">
        <v>47</v>
      </c>
      <c r="K117" s="46">
        <v>-21</v>
      </c>
      <c r="L117" s="60">
        <v>19</v>
      </c>
      <c r="M117" s="53"/>
      <c r="N117" s="61">
        <v>1.2</v>
      </c>
      <c r="O117" s="61">
        <v>2.1</v>
      </c>
      <c r="P117" s="45">
        <v>-1</v>
      </c>
      <c r="Q117" s="61">
        <v>0.9</v>
      </c>
    </row>
    <row r="118" spans="1:17" x14ac:dyDescent="0.25">
      <c r="A118" s="139"/>
      <c r="B118" s="144"/>
      <c r="C118" s="34">
        <v>11</v>
      </c>
      <c r="D118" s="57" t="s">
        <v>294</v>
      </c>
      <c r="E118" s="34">
        <v>22</v>
      </c>
      <c r="F118" s="34">
        <v>6</v>
      </c>
      <c r="G118" s="34">
        <v>0</v>
      </c>
      <c r="H118" s="34">
        <v>16</v>
      </c>
      <c r="I118" s="34">
        <v>27</v>
      </c>
      <c r="J118" s="34">
        <v>76</v>
      </c>
      <c r="K118" s="46">
        <v>-49</v>
      </c>
      <c r="L118" s="60">
        <v>18</v>
      </c>
      <c r="M118" s="53"/>
      <c r="N118" s="61">
        <v>1.2</v>
      </c>
      <c r="O118" s="61">
        <v>3.5</v>
      </c>
      <c r="P118" s="45">
        <v>-2.2000000000000002</v>
      </c>
      <c r="Q118" s="61">
        <v>0.8</v>
      </c>
    </row>
    <row r="119" spans="1:17" x14ac:dyDescent="0.25">
      <c r="A119" s="142"/>
      <c r="B119" s="145"/>
      <c r="C119" s="34">
        <v>12</v>
      </c>
      <c r="D119" s="57" t="s">
        <v>263</v>
      </c>
      <c r="E119" s="34">
        <v>22</v>
      </c>
      <c r="F119" s="34">
        <v>0</v>
      </c>
      <c r="G119" s="34">
        <v>3</v>
      </c>
      <c r="H119" s="34">
        <v>19</v>
      </c>
      <c r="I119" s="34">
        <v>19</v>
      </c>
      <c r="J119" s="34">
        <v>75</v>
      </c>
      <c r="K119" s="46">
        <v>-56</v>
      </c>
      <c r="L119" s="60">
        <v>3</v>
      </c>
      <c r="M119" s="53"/>
      <c r="N119" s="61">
        <v>0.9</v>
      </c>
      <c r="O119" s="61">
        <v>3.4</v>
      </c>
      <c r="P119" s="45">
        <v>-2.5</v>
      </c>
      <c r="Q119" s="61">
        <v>0.1</v>
      </c>
    </row>
    <row r="121" spans="1:17" x14ac:dyDescent="0.25">
      <c r="A121" s="29"/>
      <c r="B121" s="29"/>
      <c r="C121" s="30"/>
      <c r="D121" s="31"/>
      <c r="E121" s="32" t="s">
        <v>351</v>
      </c>
      <c r="F121" s="32" t="s">
        <v>236</v>
      </c>
      <c r="G121" s="32" t="s">
        <v>237</v>
      </c>
      <c r="H121" s="32" t="s">
        <v>238</v>
      </c>
      <c r="I121" s="32" t="s">
        <v>247</v>
      </c>
      <c r="J121" s="32" t="s">
        <v>248</v>
      </c>
      <c r="K121" s="32" t="s">
        <v>241</v>
      </c>
      <c r="L121" s="32" t="s">
        <v>352</v>
      </c>
      <c r="M121" s="33"/>
      <c r="N121" s="32" t="s">
        <v>353</v>
      </c>
      <c r="O121" s="32" t="s">
        <v>354</v>
      </c>
      <c r="P121" s="32" t="s">
        <v>355</v>
      </c>
      <c r="Q121" s="32" t="s">
        <v>356</v>
      </c>
    </row>
    <row r="122" spans="1:17" x14ac:dyDescent="0.25">
      <c r="A122" s="138">
        <v>2020</v>
      </c>
      <c r="B122" s="143" t="s">
        <v>371</v>
      </c>
      <c r="C122" s="52">
        <v>1</v>
      </c>
      <c r="D122" s="35" t="s">
        <v>330</v>
      </c>
      <c r="E122" s="52">
        <v>10</v>
      </c>
      <c r="F122" s="52">
        <v>9</v>
      </c>
      <c r="G122" s="52">
        <v>1</v>
      </c>
      <c r="H122" s="52">
        <v>0</v>
      </c>
      <c r="I122" s="52">
        <v>36</v>
      </c>
      <c r="J122" s="52">
        <v>2</v>
      </c>
      <c r="K122" s="52">
        <v>34</v>
      </c>
      <c r="L122" s="52">
        <v>28</v>
      </c>
      <c r="M122" s="53"/>
      <c r="N122" s="61">
        <v>3.6</v>
      </c>
      <c r="O122" s="61">
        <v>0.2</v>
      </c>
      <c r="P122" s="61">
        <v>3.4</v>
      </c>
      <c r="Q122" s="61">
        <v>2.8</v>
      </c>
    </row>
    <row r="123" spans="1:17" x14ac:dyDescent="0.25">
      <c r="A123" s="139"/>
      <c r="B123" s="144"/>
      <c r="C123" s="52">
        <v>2</v>
      </c>
      <c r="D123" s="35" t="s">
        <v>333</v>
      </c>
      <c r="E123" s="52">
        <v>10</v>
      </c>
      <c r="F123" s="52">
        <v>8</v>
      </c>
      <c r="G123" s="52">
        <v>1</v>
      </c>
      <c r="H123" s="52">
        <v>1</v>
      </c>
      <c r="I123" s="52">
        <v>45</v>
      </c>
      <c r="J123" s="52">
        <v>9</v>
      </c>
      <c r="K123" s="52">
        <v>36</v>
      </c>
      <c r="L123" s="52">
        <v>25</v>
      </c>
      <c r="M123" s="53"/>
      <c r="N123" s="61">
        <v>4.5</v>
      </c>
      <c r="O123" s="61">
        <v>0.9</v>
      </c>
      <c r="P123" s="61">
        <v>3.6</v>
      </c>
      <c r="Q123" s="61">
        <v>2.5</v>
      </c>
    </row>
    <row r="124" spans="1:17" x14ac:dyDescent="0.25">
      <c r="A124" s="139"/>
      <c r="B124" s="144"/>
      <c r="C124" s="52">
        <v>3</v>
      </c>
      <c r="D124" s="35" t="s">
        <v>334</v>
      </c>
      <c r="E124" s="52">
        <v>10</v>
      </c>
      <c r="F124" s="52">
        <v>7</v>
      </c>
      <c r="G124" s="52">
        <v>2</v>
      </c>
      <c r="H124" s="52">
        <v>1</v>
      </c>
      <c r="I124" s="52">
        <v>39</v>
      </c>
      <c r="J124" s="52">
        <v>9</v>
      </c>
      <c r="K124" s="52">
        <v>30</v>
      </c>
      <c r="L124" s="52">
        <v>23</v>
      </c>
      <c r="M124" s="53"/>
      <c r="N124" s="61">
        <v>3.9</v>
      </c>
      <c r="O124" s="61">
        <v>0.9</v>
      </c>
      <c r="P124" s="61">
        <v>3</v>
      </c>
      <c r="Q124" s="61">
        <v>2.2999999999999998</v>
      </c>
    </row>
    <row r="125" spans="1:17" x14ac:dyDescent="0.25">
      <c r="A125" s="139"/>
      <c r="B125" s="144"/>
      <c r="C125" s="52">
        <v>4</v>
      </c>
      <c r="D125" s="35" t="s">
        <v>270</v>
      </c>
      <c r="E125" s="52">
        <v>10</v>
      </c>
      <c r="F125" s="52">
        <v>5</v>
      </c>
      <c r="G125" s="52">
        <v>3</v>
      </c>
      <c r="H125" s="52">
        <v>2</v>
      </c>
      <c r="I125" s="52">
        <v>36</v>
      </c>
      <c r="J125" s="52">
        <v>12</v>
      </c>
      <c r="K125" s="52">
        <v>24</v>
      </c>
      <c r="L125" s="52">
        <v>18</v>
      </c>
      <c r="M125" s="53"/>
      <c r="N125" s="61">
        <v>3.6</v>
      </c>
      <c r="O125" s="61">
        <v>1.2</v>
      </c>
      <c r="P125" s="61">
        <v>2.4</v>
      </c>
      <c r="Q125" s="61">
        <v>1.8</v>
      </c>
    </row>
    <row r="126" spans="1:17" x14ac:dyDescent="0.25">
      <c r="A126" s="139"/>
      <c r="B126" s="144"/>
      <c r="C126" s="52">
        <v>5</v>
      </c>
      <c r="D126" s="35" t="s">
        <v>272</v>
      </c>
      <c r="E126" s="52">
        <v>10</v>
      </c>
      <c r="F126" s="52">
        <v>5</v>
      </c>
      <c r="G126" s="52">
        <v>1</v>
      </c>
      <c r="H126" s="52">
        <v>4</v>
      </c>
      <c r="I126" s="52">
        <v>17</v>
      </c>
      <c r="J126" s="52">
        <v>11</v>
      </c>
      <c r="K126" s="52">
        <v>6</v>
      </c>
      <c r="L126" s="52">
        <v>16</v>
      </c>
      <c r="M126" s="53"/>
      <c r="N126" s="61">
        <v>1.7</v>
      </c>
      <c r="O126" s="61">
        <v>1.1000000000000001</v>
      </c>
      <c r="P126" s="61">
        <v>0.6</v>
      </c>
      <c r="Q126" s="61">
        <v>1.6</v>
      </c>
    </row>
    <row r="127" spans="1:17" x14ac:dyDescent="0.25">
      <c r="A127" s="139"/>
      <c r="B127" s="144"/>
      <c r="C127" s="52">
        <v>6</v>
      </c>
      <c r="D127" s="35" t="s">
        <v>324</v>
      </c>
      <c r="E127" s="52">
        <v>10</v>
      </c>
      <c r="F127" s="52">
        <v>4</v>
      </c>
      <c r="G127" s="52">
        <v>2</v>
      </c>
      <c r="H127" s="52">
        <v>4</v>
      </c>
      <c r="I127" s="52">
        <v>16</v>
      </c>
      <c r="J127" s="52">
        <v>19</v>
      </c>
      <c r="K127" s="56">
        <v>-3</v>
      </c>
      <c r="L127" s="52">
        <v>14</v>
      </c>
      <c r="M127" s="53"/>
      <c r="N127" s="61">
        <v>1.6</v>
      </c>
      <c r="O127" s="61">
        <v>1.9</v>
      </c>
      <c r="P127" s="45">
        <v>-0.3</v>
      </c>
      <c r="Q127" s="61">
        <v>1.4</v>
      </c>
    </row>
    <row r="128" spans="1:17" x14ac:dyDescent="0.25">
      <c r="A128" s="139"/>
      <c r="B128" s="144"/>
      <c r="C128" s="52">
        <v>7</v>
      </c>
      <c r="D128" s="35" t="s">
        <v>327</v>
      </c>
      <c r="E128" s="52">
        <v>10</v>
      </c>
      <c r="F128" s="52">
        <v>4</v>
      </c>
      <c r="G128" s="52">
        <v>1</v>
      </c>
      <c r="H128" s="52">
        <v>5</v>
      </c>
      <c r="I128" s="52">
        <v>16</v>
      </c>
      <c r="J128" s="52">
        <v>20</v>
      </c>
      <c r="K128" s="56">
        <v>-4</v>
      </c>
      <c r="L128" s="52">
        <v>13</v>
      </c>
      <c r="M128" s="53"/>
      <c r="N128" s="61">
        <v>1.6</v>
      </c>
      <c r="O128" s="61">
        <v>2</v>
      </c>
      <c r="P128" s="45">
        <v>-0.4</v>
      </c>
      <c r="Q128" s="61">
        <v>1.3</v>
      </c>
    </row>
    <row r="129" spans="1:17" x14ac:dyDescent="0.25">
      <c r="A129" s="139"/>
      <c r="B129" s="144"/>
      <c r="C129" s="52">
        <v>8</v>
      </c>
      <c r="D129" s="35" t="s">
        <v>326</v>
      </c>
      <c r="E129" s="52">
        <v>10</v>
      </c>
      <c r="F129" s="52">
        <v>3</v>
      </c>
      <c r="G129" s="52">
        <v>2</v>
      </c>
      <c r="H129" s="52">
        <v>5</v>
      </c>
      <c r="I129" s="52">
        <v>21</v>
      </c>
      <c r="J129" s="52">
        <v>25</v>
      </c>
      <c r="K129" s="56">
        <v>-4</v>
      </c>
      <c r="L129" s="52">
        <v>11</v>
      </c>
      <c r="M129" s="53"/>
      <c r="N129" s="61">
        <v>2.1</v>
      </c>
      <c r="O129" s="61">
        <v>2.5</v>
      </c>
      <c r="P129" s="45">
        <v>-0.4</v>
      </c>
      <c r="Q129" s="61">
        <v>1.1000000000000001</v>
      </c>
    </row>
    <row r="130" spans="1:17" x14ac:dyDescent="0.25">
      <c r="A130" s="139"/>
      <c r="B130" s="144"/>
      <c r="C130" s="52">
        <v>9</v>
      </c>
      <c r="D130" s="35" t="s">
        <v>323</v>
      </c>
      <c r="E130" s="52">
        <v>10</v>
      </c>
      <c r="F130" s="52">
        <v>1</v>
      </c>
      <c r="G130" s="52">
        <v>2</v>
      </c>
      <c r="H130" s="52">
        <v>7</v>
      </c>
      <c r="I130" s="52">
        <v>8</v>
      </c>
      <c r="J130" s="52">
        <v>33</v>
      </c>
      <c r="K130" s="56">
        <v>-25</v>
      </c>
      <c r="L130" s="52">
        <v>5</v>
      </c>
      <c r="M130" s="53"/>
      <c r="N130" s="61">
        <v>0.8</v>
      </c>
      <c r="O130" s="61">
        <v>3.3</v>
      </c>
      <c r="P130" s="45">
        <v>-2.5</v>
      </c>
      <c r="Q130" s="61">
        <v>0.5</v>
      </c>
    </row>
    <row r="131" spans="1:17" x14ac:dyDescent="0.25">
      <c r="A131" s="139"/>
      <c r="B131" s="144"/>
      <c r="C131" s="54">
        <v>10</v>
      </c>
      <c r="D131" s="39" t="s">
        <v>254</v>
      </c>
      <c r="E131" s="54">
        <v>10</v>
      </c>
      <c r="F131" s="54">
        <v>0</v>
      </c>
      <c r="G131" s="54">
        <v>2</v>
      </c>
      <c r="H131" s="54">
        <v>8</v>
      </c>
      <c r="I131" s="54">
        <v>10</v>
      </c>
      <c r="J131" s="54">
        <v>54</v>
      </c>
      <c r="K131" s="62">
        <v>-44</v>
      </c>
      <c r="L131" s="54">
        <v>2</v>
      </c>
      <c r="M131" s="55"/>
      <c r="N131" s="42">
        <v>1</v>
      </c>
      <c r="O131" s="42">
        <v>5.4</v>
      </c>
      <c r="P131" s="41">
        <v>-4.4000000000000004</v>
      </c>
      <c r="Q131" s="42">
        <v>0.2</v>
      </c>
    </row>
    <row r="132" spans="1:17" x14ac:dyDescent="0.25">
      <c r="A132" s="139"/>
      <c r="B132" s="144"/>
      <c r="C132" s="52">
        <v>11</v>
      </c>
      <c r="D132" s="35" t="s">
        <v>321</v>
      </c>
      <c r="E132" s="52">
        <v>10</v>
      </c>
      <c r="F132" s="52">
        <v>0</v>
      </c>
      <c r="G132" s="52">
        <v>1</v>
      </c>
      <c r="H132" s="52">
        <v>9</v>
      </c>
      <c r="I132" s="52">
        <v>7</v>
      </c>
      <c r="J132" s="52">
        <v>57</v>
      </c>
      <c r="K132" s="56">
        <v>-50</v>
      </c>
      <c r="L132" s="52">
        <v>1</v>
      </c>
      <c r="M132" s="53"/>
      <c r="N132" s="61">
        <v>0.7</v>
      </c>
      <c r="O132" s="61">
        <v>5.7</v>
      </c>
      <c r="P132" s="45">
        <v>-5</v>
      </c>
      <c r="Q132" s="61">
        <v>0.1</v>
      </c>
    </row>
    <row r="133" spans="1:17" x14ac:dyDescent="0.25">
      <c r="A133" s="50"/>
      <c r="B133" s="50"/>
      <c r="C133" s="63"/>
      <c r="D133" s="64"/>
      <c r="E133" s="65"/>
      <c r="F133" s="65"/>
      <c r="G133" s="65"/>
      <c r="H133" s="65"/>
      <c r="I133" s="65"/>
      <c r="J133" s="65"/>
      <c r="K133" s="65"/>
      <c r="L133" s="65"/>
      <c r="M133" s="50"/>
      <c r="N133" s="65"/>
      <c r="O133" s="65"/>
      <c r="P133" s="65"/>
      <c r="Q133" s="65"/>
    </row>
    <row r="134" spans="1:17" x14ac:dyDescent="0.25">
      <c r="A134" s="29"/>
      <c r="B134" s="29"/>
      <c r="C134" s="30"/>
      <c r="D134" s="31"/>
      <c r="E134" s="32" t="s">
        <v>351</v>
      </c>
      <c r="F134" s="32" t="s">
        <v>236</v>
      </c>
      <c r="G134" s="32" t="s">
        <v>237</v>
      </c>
      <c r="H134" s="32" t="s">
        <v>238</v>
      </c>
      <c r="I134" s="32" t="s">
        <v>247</v>
      </c>
      <c r="J134" s="32" t="s">
        <v>248</v>
      </c>
      <c r="K134" s="32" t="s">
        <v>241</v>
      </c>
      <c r="L134" s="32" t="s">
        <v>352</v>
      </c>
      <c r="M134" s="33"/>
      <c r="N134" s="32" t="s">
        <v>353</v>
      </c>
      <c r="O134" s="32" t="s">
        <v>354</v>
      </c>
      <c r="P134" s="32" t="s">
        <v>355</v>
      </c>
      <c r="Q134" s="32" t="s">
        <v>356</v>
      </c>
    </row>
    <row r="135" spans="1:17" x14ac:dyDescent="0.25">
      <c r="A135" s="138">
        <v>2021</v>
      </c>
      <c r="B135" s="143" t="s">
        <v>372</v>
      </c>
      <c r="C135" s="52">
        <v>1</v>
      </c>
      <c r="D135" s="35" t="s">
        <v>331</v>
      </c>
      <c r="E135" s="52">
        <v>11</v>
      </c>
      <c r="F135" s="52">
        <v>11</v>
      </c>
      <c r="G135" s="52">
        <v>0</v>
      </c>
      <c r="H135" s="52">
        <v>0</v>
      </c>
      <c r="I135" s="52">
        <v>67</v>
      </c>
      <c r="J135" s="52">
        <v>7</v>
      </c>
      <c r="K135" s="52">
        <v>60</v>
      </c>
      <c r="L135" s="52">
        <v>33</v>
      </c>
      <c r="M135" s="53"/>
      <c r="N135" s="61">
        <v>6.1</v>
      </c>
      <c r="O135" s="61">
        <v>0.6</v>
      </c>
      <c r="P135" s="61">
        <v>5.5</v>
      </c>
      <c r="Q135" s="61">
        <v>3</v>
      </c>
    </row>
    <row r="136" spans="1:17" x14ac:dyDescent="0.25">
      <c r="A136" s="139"/>
      <c r="B136" s="144"/>
      <c r="C136" s="52">
        <v>2</v>
      </c>
      <c r="D136" s="35" t="s">
        <v>300</v>
      </c>
      <c r="E136" s="52">
        <v>11</v>
      </c>
      <c r="F136" s="52">
        <v>8</v>
      </c>
      <c r="G136" s="52">
        <v>1</v>
      </c>
      <c r="H136" s="52">
        <v>2</v>
      </c>
      <c r="I136" s="52">
        <v>41</v>
      </c>
      <c r="J136" s="52">
        <v>21</v>
      </c>
      <c r="K136" s="52">
        <v>20</v>
      </c>
      <c r="L136" s="52">
        <v>25</v>
      </c>
      <c r="M136" s="53"/>
      <c r="N136" s="61">
        <v>3.7</v>
      </c>
      <c r="O136" s="61">
        <v>1.9</v>
      </c>
      <c r="P136" s="61">
        <v>1.8</v>
      </c>
      <c r="Q136" s="61">
        <v>2.2999999999999998</v>
      </c>
    </row>
    <row r="137" spans="1:17" x14ac:dyDescent="0.25">
      <c r="A137" s="139"/>
      <c r="B137" s="144"/>
      <c r="C137" s="52">
        <v>3</v>
      </c>
      <c r="D137" s="35" t="s">
        <v>308</v>
      </c>
      <c r="E137" s="52">
        <v>11</v>
      </c>
      <c r="F137" s="52">
        <v>7</v>
      </c>
      <c r="G137" s="52">
        <v>3</v>
      </c>
      <c r="H137" s="52">
        <v>1</v>
      </c>
      <c r="I137" s="52">
        <v>47</v>
      </c>
      <c r="J137" s="52">
        <v>14</v>
      </c>
      <c r="K137" s="52">
        <v>33</v>
      </c>
      <c r="L137" s="52">
        <v>24</v>
      </c>
      <c r="M137" s="53"/>
      <c r="N137" s="61">
        <v>4.3</v>
      </c>
      <c r="O137" s="61">
        <v>1.3</v>
      </c>
      <c r="P137" s="61">
        <v>3</v>
      </c>
      <c r="Q137" s="61">
        <v>2.2000000000000002</v>
      </c>
    </row>
    <row r="138" spans="1:17" x14ac:dyDescent="0.25">
      <c r="A138" s="139"/>
      <c r="B138" s="144"/>
      <c r="C138" s="52">
        <v>4</v>
      </c>
      <c r="D138" s="35" t="s">
        <v>292</v>
      </c>
      <c r="E138" s="52">
        <v>11</v>
      </c>
      <c r="F138" s="52">
        <v>5</v>
      </c>
      <c r="G138" s="52">
        <v>3</v>
      </c>
      <c r="H138" s="52">
        <v>3</v>
      </c>
      <c r="I138" s="52">
        <v>31</v>
      </c>
      <c r="J138" s="52">
        <v>30</v>
      </c>
      <c r="K138" s="52">
        <v>1</v>
      </c>
      <c r="L138" s="52">
        <v>18</v>
      </c>
      <c r="M138" s="53"/>
      <c r="N138" s="61">
        <v>2.8</v>
      </c>
      <c r="O138" s="61">
        <v>2.7</v>
      </c>
      <c r="P138" s="61">
        <v>0.1</v>
      </c>
      <c r="Q138" s="61">
        <v>1.6</v>
      </c>
    </row>
    <row r="139" spans="1:17" x14ac:dyDescent="0.25">
      <c r="A139" s="139"/>
      <c r="B139" s="144"/>
      <c r="C139" s="54">
        <v>5</v>
      </c>
      <c r="D139" s="39" t="s">
        <v>254</v>
      </c>
      <c r="E139" s="54">
        <v>11</v>
      </c>
      <c r="F139" s="54">
        <v>5</v>
      </c>
      <c r="G139" s="54">
        <v>2</v>
      </c>
      <c r="H139" s="54">
        <v>4</v>
      </c>
      <c r="I139" s="54">
        <v>28</v>
      </c>
      <c r="J139" s="54">
        <v>21</v>
      </c>
      <c r="K139" s="54">
        <v>7</v>
      </c>
      <c r="L139" s="54">
        <v>17</v>
      </c>
      <c r="M139" s="55"/>
      <c r="N139" s="42">
        <v>2.5</v>
      </c>
      <c r="O139" s="42">
        <v>1.9</v>
      </c>
      <c r="P139" s="42">
        <v>0.6</v>
      </c>
      <c r="Q139" s="42">
        <v>1.5</v>
      </c>
    </row>
    <row r="140" spans="1:17" x14ac:dyDescent="0.25">
      <c r="A140" s="139"/>
      <c r="B140" s="144"/>
      <c r="C140" s="52">
        <v>6</v>
      </c>
      <c r="D140" s="35" t="s">
        <v>305</v>
      </c>
      <c r="E140" s="52">
        <v>11</v>
      </c>
      <c r="F140" s="52">
        <v>4</v>
      </c>
      <c r="G140" s="52">
        <v>3</v>
      </c>
      <c r="H140" s="52">
        <v>4</v>
      </c>
      <c r="I140" s="52">
        <v>33</v>
      </c>
      <c r="J140" s="52">
        <v>33</v>
      </c>
      <c r="K140" s="52">
        <v>0</v>
      </c>
      <c r="L140" s="52">
        <v>15</v>
      </c>
      <c r="M140" s="53"/>
      <c r="N140" s="61">
        <v>3</v>
      </c>
      <c r="O140" s="61">
        <v>3</v>
      </c>
      <c r="P140" s="61">
        <v>0</v>
      </c>
      <c r="Q140" s="61">
        <v>1.4</v>
      </c>
    </row>
    <row r="141" spans="1:17" x14ac:dyDescent="0.25">
      <c r="A141" s="139"/>
      <c r="B141" s="144"/>
      <c r="C141" s="52">
        <v>7</v>
      </c>
      <c r="D141" s="35" t="s">
        <v>322</v>
      </c>
      <c r="E141" s="52">
        <v>11</v>
      </c>
      <c r="F141" s="52">
        <v>3</v>
      </c>
      <c r="G141" s="52">
        <v>4</v>
      </c>
      <c r="H141" s="52">
        <v>4</v>
      </c>
      <c r="I141" s="52">
        <v>25</v>
      </c>
      <c r="J141" s="52">
        <v>25</v>
      </c>
      <c r="K141" s="52">
        <v>0</v>
      </c>
      <c r="L141" s="52">
        <v>13</v>
      </c>
      <c r="M141" s="53"/>
      <c r="N141" s="61">
        <v>2.2999999999999998</v>
      </c>
      <c r="O141" s="61">
        <v>2.2999999999999998</v>
      </c>
      <c r="P141" s="61">
        <v>0</v>
      </c>
      <c r="Q141" s="61">
        <v>1.2</v>
      </c>
    </row>
    <row r="142" spans="1:17" x14ac:dyDescent="0.25">
      <c r="A142" s="139"/>
      <c r="B142" s="144"/>
      <c r="C142" s="52">
        <v>8</v>
      </c>
      <c r="D142" s="35" t="s">
        <v>283</v>
      </c>
      <c r="E142" s="52">
        <v>11</v>
      </c>
      <c r="F142" s="52">
        <v>4</v>
      </c>
      <c r="G142" s="52">
        <v>1</v>
      </c>
      <c r="H142" s="52">
        <v>6</v>
      </c>
      <c r="I142" s="52">
        <v>18</v>
      </c>
      <c r="J142" s="52">
        <v>34</v>
      </c>
      <c r="K142" s="56">
        <v>-16</v>
      </c>
      <c r="L142" s="52">
        <v>13</v>
      </c>
      <c r="M142" s="53"/>
      <c r="N142" s="61">
        <v>1.6</v>
      </c>
      <c r="O142" s="61">
        <v>3.1</v>
      </c>
      <c r="P142" s="45">
        <v>-1.5</v>
      </c>
      <c r="Q142" s="61">
        <v>1.2</v>
      </c>
    </row>
    <row r="143" spans="1:17" x14ac:dyDescent="0.25">
      <c r="A143" s="139"/>
      <c r="B143" s="144"/>
      <c r="C143" s="52">
        <v>9</v>
      </c>
      <c r="D143" s="35" t="s">
        <v>256</v>
      </c>
      <c r="E143" s="52">
        <v>11</v>
      </c>
      <c r="F143" s="52">
        <v>3</v>
      </c>
      <c r="G143" s="52">
        <v>3</v>
      </c>
      <c r="H143" s="52">
        <v>5</v>
      </c>
      <c r="I143" s="52">
        <v>18</v>
      </c>
      <c r="J143" s="52">
        <v>25</v>
      </c>
      <c r="K143" s="56">
        <v>-7</v>
      </c>
      <c r="L143" s="52">
        <v>12</v>
      </c>
      <c r="M143" s="53"/>
      <c r="N143" s="61">
        <v>1.6</v>
      </c>
      <c r="O143" s="61">
        <v>2.2999999999999998</v>
      </c>
      <c r="P143" s="45">
        <v>-0.6</v>
      </c>
      <c r="Q143" s="61">
        <v>1.1000000000000001</v>
      </c>
    </row>
    <row r="144" spans="1:17" x14ac:dyDescent="0.25">
      <c r="A144" s="139"/>
      <c r="B144" s="144"/>
      <c r="C144" s="52">
        <v>10</v>
      </c>
      <c r="D144" s="35" t="s">
        <v>316</v>
      </c>
      <c r="E144" s="52">
        <v>11</v>
      </c>
      <c r="F144" s="52">
        <v>3</v>
      </c>
      <c r="G144" s="52">
        <v>1</v>
      </c>
      <c r="H144" s="52">
        <v>7</v>
      </c>
      <c r="I144" s="52">
        <v>16</v>
      </c>
      <c r="J144" s="52">
        <v>31</v>
      </c>
      <c r="K144" s="56">
        <v>-15</v>
      </c>
      <c r="L144" s="52">
        <v>10</v>
      </c>
      <c r="M144" s="53"/>
      <c r="N144" s="61">
        <v>1.5</v>
      </c>
      <c r="O144" s="61">
        <v>2.8</v>
      </c>
      <c r="P144" s="45">
        <v>-1.4</v>
      </c>
      <c r="Q144" s="61">
        <v>0.9</v>
      </c>
    </row>
    <row r="145" spans="1:17" x14ac:dyDescent="0.25">
      <c r="A145" s="139"/>
      <c r="B145" s="144"/>
      <c r="C145" s="52">
        <v>11</v>
      </c>
      <c r="D145" s="35" t="s">
        <v>296</v>
      </c>
      <c r="E145" s="52">
        <v>11</v>
      </c>
      <c r="F145" s="52">
        <v>1</v>
      </c>
      <c r="G145" s="52">
        <v>1</v>
      </c>
      <c r="H145" s="52">
        <v>9</v>
      </c>
      <c r="I145" s="52">
        <v>4</v>
      </c>
      <c r="J145" s="52">
        <v>39</v>
      </c>
      <c r="K145" s="56">
        <v>-35</v>
      </c>
      <c r="L145" s="52">
        <v>4</v>
      </c>
      <c r="M145" s="53"/>
      <c r="N145" s="61">
        <v>0.4</v>
      </c>
      <c r="O145" s="61">
        <v>3.5</v>
      </c>
      <c r="P145" s="45">
        <v>-3.2</v>
      </c>
      <c r="Q145" s="61">
        <v>0.4</v>
      </c>
    </row>
    <row r="146" spans="1:17" x14ac:dyDescent="0.25">
      <c r="A146" s="142"/>
      <c r="B146" s="145"/>
      <c r="C146" s="52">
        <v>12</v>
      </c>
      <c r="D146" s="35" t="s">
        <v>275</v>
      </c>
      <c r="E146" s="52">
        <v>11</v>
      </c>
      <c r="F146" s="52">
        <v>1</v>
      </c>
      <c r="G146" s="52">
        <v>0</v>
      </c>
      <c r="H146" s="52">
        <v>10</v>
      </c>
      <c r="I146" s="52">
        <v>5</v>
      </c>
      <c r="J146" s="52">
        <v>53</v>
      </c>
      <c r="K146" s="56">
        <v>-48</v>
      </c>
      <c r="L146" s="52">
        <v>3</v>
      </c>
      <c r="M146" s="53"/>
      <c r="N146" s="61">
        <v>0.5</v>
      </c>
      <c r="O146" s="61">
        <v>4.8</v>
      </c>
      <c r="P146" s="45">
        <v>-4.4000000000000004</v>
      </c>
      <c r="Q146" s="61">
        <v>0.3</v>
      </c>
    </row>
    <row r="147" spans="1:17" x14ac:dyDescent="0.25">
      <c r="A147" s="64"/>
      <c r="B147" s="64"/>
      <c r="C147" s="63"/>
      <c r="D147" s="64"/>
      <c r="E147" s="65"/>
      <c r="F147" s="65"/>
      <c r="G147" s="65"/>
      <c r="H147" s="65"/>
      <c r="I147" s="65"/>
      <c r="J147" s="65"/>
      <c r="K147" s="65"/>
      <c r="L147" s="65"/>
      <c r="M147" s="50"/>
      <c r="N147" s="65"/>
      <c r="O147" s="65"/>
      <c r="P147" s="65"/>
      <c r="Q147" s="65"/>
    </row>
    <row r="148" spans="1:17" x14ac:dyDescent="0.25">
      <c r="A148" s="29"/>
      <c r="B148" s="29"/>
      <c r="C148" s="30"/>
      <c r="D148" s="31"/>
      <c r="E148" s="32" t="s">
        <v>351</v>
      </c>
      <c r="F148" s="32" t="s">
        <v>236</v>
      </c>
      <c r="G148" s="32" t="s">
        <v>237</v>
      </c>
      <c r="H148" s="32" t="s">
        <v>238</v>
      </c>
      <c r="I148" s="32" t="s">
        <v>247</v>
      </c>
      <c r="J148" s="32" t="s">
        <v>248</v>
      </c>
      <c r="K148" s="32" t="s">
        <v>241</v>
      </c>
      <c r="L148" s="32" t="s">
        <v>352</v>
      </c>
      <c r="M148" s="33"/>
      <c r="N148" s="32" t="s">
        <v>353</v>
      </c>
      <c r="O148" s="32" t="s">
        <v>354</v>
      </c>
      <c r="P148" s="32" t="s">
        <v>355</v>
      </c>
      <c r="Q148" s="32" t="s">
        <v>356</v>
      </c>
    </row>
    <row r="149" spans="1:17" x14ac:dyDescent="0.25">
      <c r="A149" s="138">
        <v>2022</v>
      </c>
      <c r="B149" s="143" t="s">
        <v>373</v>
      </c>
      <c r="C149" s="54">
        <v>1</v>
      </c>
      <c r="D149" s="39" t="s">
        <v>254</v>
      </c>
      <c r="E149" s="54">
        <v>22</v>
      </c>
      <c r="F149" s="54">
        <v>19</v>
      </c>
      <c r="G149" s="54">
        <v>2</v>
      </c>
      <c r="H149" s="54">
        <v>1</v>
      </c>
      <c r="I149" s="54">
        <v>98</v>
      </c>
      <c r="J149" s="54">
        <v>27</v>
      </c>
      <c r="K149" s="54">
        <v>71</v>
      </c>
      <c r="L149" s="54">
        <v>59</v>
      </c>
      <c r="M149" s="55"/>
      <c r="N149" s="42">
        <v>4.5</v>
      </c>
      <c r="O149" s="42">
        <v>1.2</v>
      </c>
      <c r="P149" s="42">
        <v>3.2</v>
      </c>
      <c r="Q149" s="42">
        <v>2.7</v>
      </c>
    </row>
    <row r="150" spans="1:17" x14ac:dyDescent="0.25">
      <c r="A150" s="139"/>
      <c r="B150" s="144"/>
      <c r="C150" s="52">
        <v>2</v>
      </c>
      <c r="D150" s="35" t="s">
        <v>374</v>
      </c>
      <c r="E150" s="52">
        <v>22</v>
      </c>
      <c r="F150" s="52">
        <v>16</v>
      </c>
      <c r="G150" s="52">
        <v>3</v>
      </c>
      <c r="H150" s="52">
        <v>3</v>
      </c>
      <c r="I150" s="52">
        <v>61</v>
      </c>
      <c r="J150" s="52">
        <v>32</v>
      </c>
      <c r="K150" s="52">
        <v>29</v>
      </c>
      <c r="L150" s="52">
        <v>51</v>
      </c>
      <c r="M150" s="53"/>
      <c r="N150" s="61">
        <v>2.8</v>
      </c>
      <c r="O150" s="61">
        <v>1.5</v>
      </c>
      <c r="P150" s="61">
        <v>1.3</v>
      </c>
      <c r="Q150" s="61">
        <v>2.2999999999999998</v>
      </c>
    </row>
    <row r="151" spans="1:17" x14ac:dyDescent="0.25">
      <c r="A151" s="139"/>
      <c r="B151" s="144"/>
      <c r="C151" s="52">
        <v>3</v>
      </c>
      <c r="D151" s="35" t="s">
        <v>324</v>
      </c>
      <c r="E151" s="52">
        <v>22</v>
      </c>
      <c r="F151" s="52">
        <v>16</v>
      </c>
      <c r="G151" s="52">
        <v>2</v>
      </c>
      <c r="H151" s="52">
        <v>4</v>
      </c>
      <c r="I151" s="52">
        <v>75</v>
      </c>
      <c r="J151" s="52">
        <v>23</v>
      </c>
      <c r="K151" s="52">
        <v>52</v>
      </c>
      <c r="L151" s="52">
        <v>50</v>
      </c>
      <c r="M151" s="53"/>
      <c r="N151" s="61">
        <v>3.4</v>
      </c>
      <c r="O151" s="61">
        <v>1</v>
      </c>
      <c r="P151" s="61">
        <v>2.4</v>
      </c>
      <c r="Q151" s="61">
        <v>2.2999999999999998</v>
      </c>
    </row>
    <row r="152" spans="1:17" x14ac:dyDescent="0.25">
      <c r="A152" s="139"/>
      <c r="B152" s="144"/>
      <c r="C152" s="52">
        <v>4</v>
      </c>
      <c r="D152" s="35" t="s">
        <v>319</v>
      </c>
      <c r="E152" s="52">
        <v>22</v>
      </c>
      <c r="F152" s="52">
        <v>14</v>
      </c>
      <c r="G152" s="52">
        <v>4</v>
      </c>
      <c r="H152" s="52">
        <v>4</v>
      </c>
      <c r="I152" s="52">
        <v>64</v>
      </c>
      <c r="J152" s="52">
        <v>27</v>
      </c>
      <c r="K152" s="52">
        <v>37</v>
      </c>
      <c r="L152" s="52">
        <v>46</v>
      </c>
      <c r="M152" s="53"/>
      <c r="N152" s="61">
        <v>2.9</v>
      </c>
      <c r="O152" s="61">
        <v>1.2</v>
      </c>
      <c r="P152" s="61">
        <v>1.7</v>
      </c>
      <c r="Q152" s="61">
        <v>2.1</v>
      </c>
    </row>
    <row r="153" spans="1:17" x14ac:dyDescent="0.25">
      <c r="A153" s="139"/>
      <c r="B153" s="144"/>
      <c r="C153" s="52">
        <v>5</v>
      </c>
      <c r="D153" s="35" t="s">
        <v>302</v>
      </c>
      <c r="E153" s="52">
        <v>22</v>
      </c>
      <c r="F153" s="52">
        <v>14</v>
      </c>
      <c r="G153" s="52">
        <v>2</v>
      </c>
      <c r="H153" s="52">
        <v>6</v>
      </c>
      <c r="I153" s="52">
        <v>84</v>
      </c>
      <c r="J153" s="52">
        <v>36</v>
      </c>
      <c r="K153" s="52">
        <v>48</v>
      </c>
      <c r="L153" s="52">
        <v>44</v>
      </c>
      <c r="M153" s="53"/>
      <c r="N153" s="61">
        <v>3.8</v>
      </c>
      <c r="O153" s="61">
        <v>1.6</v>
      </c>
      <c r="P153" s="61">
        <v>2.2000000000000002</v>
      </c>
      <c r="Q153" s="61">
        <v>2</v>
      </c>
    </row>
    <row r="154" spans="1:17" x14ac:dyDescent="0.25">
      <c r="A154" s="139"/>
      <c r="B154" s="144"/>
      <c r="C154" s="52">
        <v>6</v>
      </c>
      <c r="D154" s="35" t="s">
        <v>274</v>
      </c>
      <c r="E154" s="52">
        <v>22</v>
      </c>
      <c r="F154" s="52">
        <v>10</v>
      </c>
      <c r="G154" s="52">
        <v>2</v>
      </c>
      <c r="H154" s="52">
        <v>10</v>
      </c>
      <c r="I154" s="52">
        <v>41</v>
      </c>
      <c r="J154" s="52">
        <v>38</v>
      </c>
      <c r="K154" s="52">
        <v>3</v>
      </c>
      <c r="L154" s="52">
        <v>32</v>
      </c>
      <c r="M154" s="53"/>
      <c r="N154" s="61">
        <v>1.9</v>
      </c>
      <c r="O154" s="61">
        <v>1.7</v>
      </c>
      <c r="P154" s="61">
        <v>0.1</v>
      </c>
      <c r="Q154" s="61">
        <v>1.5</v>
      </c>
    </row>
    <row r="155" spans="1:17" x14ac:dyDescent="0.25">
      <c r="A155" s="139"/>
      <c r="B155" s="144"/>
      <c r="C155" s="52">
        <v>7</v>
      </c>
      <c r="D155" s="35" t="s">
        <v>256</v>
      </c>
      <c r="E155" s="52">
        <v>22</v>
      </c>
      <c r="F155" s="52">
        <v>7</v>
      </c>
      <c r="G155" s="52">
        <v>3</v>
      </c>
      <c r="H155" s="52">
        <v>12</v>
      </c>
      <c r="I155" s="52">
        <v>41</v>
      </c>
      <c r="J155" s="52">
        <v>64</v>
      </c>
      <c r="K155" s="56">
        <v>-23</v>
      </c>
      <c r="L155" s="52">
        <v>24</v>
      </c>
      <c r="M155" s="53"/>
      <c r="N155" s="61">
        <v>1.9</v>
      </c>
      <c r="O155" s="61">
        <v>2.9</v>
      </c>
      <c r="P155" s="45">
        <v>-1</v>
      </c>
      <c r="Q155" s="61">
        <v>1.1000000000000001</v>
      </c>
    </row>
    <row r="156" spans="1:17" x14ac:dyDescent="0.25">
      <c r="A156" s="139"/>
      <c r="B156" s="144"/>
      <c r="C156" s="52">
        <v>8</v>
      </c>
      <c r="D156" s="35" t="s">
        <v>301</v>
      </c>
      <c r="E156" s="52">
        <v>22</v>
      </c>
      <c r="F156" s="52">
        <v>6</v>
      </c>
      <c r="G156" s="52">
        <v>5</v>
      </c>
      <c r="H156" s="52">
        <v>11</v>
      </c>
      <c r="I156" s="52">
        <v>43</v>
      </c>
      <c r="J156" s="52">
        <v>53</v>
      </c>
      <c r="K156" s="56">
        <v>-10</v>
      </c>
      <c r="L156" s="52">
        <v>23</v>
      </c>
      <c r="M156" s="53"/>
      <c r="N156" s="61">
        <v>2</v>
      </c>
      <c r="O156" s="61">
        <v>2.4</v>
      </c>
      <c r="P156" s="45">
        <v>-0.5</v>
      </c>
      <c r="Q156" s="61">
        <v>1</v>
      </c>
    </row>
    <row r="157" spans="1:17" x14ac:dyDescent="0.25">
      <c r="A157" s="139"/>
      <c r="B157" s="144"/>
      <c r="C157" s="52">
        <v>9</v>
      </c>
      <c r="D157" s="35" t="s">
        <v>273</v>
      </c>
      <c r="E157" s="52">
        <v>22</v>
      </c>
      <c r="F157" s="52">
        <v>5</v>
      </c>
      <c r="G157" s="52">
        <v>3</v>
      </c>
      <c r="H157" s="52">
        <v>14</v>
      </c>
      <c r="I157" s="52">
        <v>36</v>
      </c>
      <c r="J157" s="52">
        <v>56</v>
      </c>
      <c r="K157" s="56">
        <v>-20</v>
      </c>
      <c r="L157" s="52">
        <v>18</v>
      </c>
      <c r="M157" s="53"/>
      <c r="N157" s="61">
        <v>1.6</v>
      </c>
      <c r="O157" s="61">
        <v>2.5</v>
      </c>
      <c r="P157" s="45">
        <v>-0.9</v>
      </c>
      <c r="Q157" s="61">
        <v>0.8</v>
      </c>
    </row>
    <row r="158" spans="1:17" x14ac:dyDescent="0.25">
      <c r="A158" s="139"/>
      <c r="B158" s="144"/>
      <c r="C158" s="52">
        <v>10</v>
      </c>
      <c r="D158" s="35" t="s">
        <v>276</v>
      </c>
      <c r="E158" s="52">
        <v>22</v>
      </c>
      <c r="F158" s="52">
        <v>4</v>
      </c>
      <c r="G158" s="52">
        <v>2</v>
      </c>
      <c r="H158" s="52">
        <v>16</v>
      </c>
      <c r="I158" s="52">
        <v>23</v>
      </c>
      <c r="J158" s="52">
        <v>85</v>
      </c>
      <c r="K158" s="56">
        <v>-62</v>
      </c>
      <c r="L158" s="52">
        <v>14</v>
      </c>
      <c r="M158" s="53"/>
      <c r="N158" s="61">
        <v>1</v>
      </c>
      <c r="O158" s="61">
        <v>3.9</v>
      </c>
      <c r="P158" s="45">
        <v>-2.8</v>
      </c>
      <c r="Q158" s="61">
        <v>0.6</v>
      </c>
    </row>
    <row r="159" spans="1:17" x14ac:dyDescent="0.25">
      <c r="A159" s="139"/>
      <c r="B159" s="144"/>
      <c r="C159" s="52">
        <v>11</v>
      </c>
      <c r="D159" s="35" t="s">
        <v>281</v>
      </c>
      <c r="E159" s="52">
        <v>22</v>
      </c>
      <c r="F159" s="52">
        <v>3</v>
      </c>
      <c r="G159" s="52">
        <v>2</v>
      </c>
      <c r="H159" s="52">
        <v>17</v>
      </c>
      <c r="I159" s="52">
        <v>20</v>
      </c>
      <c r="J159" s="52">
        <v>70</v>
      </c>
      <c r="K159" s="56">
        <v>-50</v>
      </c>
      <c r="L159" s="52">
        <v>11</v>
      </c>
      <c r="M159" s="53"/>
      <c r="N159" s="61">
        <v>0.9</v>
      </c>
      <c r="O159" s="61">
        <v>3.2</v>
      </c>
      <c r="P159" s="45">
        <v>-2.2999999999999998</v>
      </c>
      <c r="Q159" s="61">
        <v>0.5</v>
      </c>
    </row>
    <row r="160" spans="1:17" x14ac:dyDescent="0.25">
      <c r="A160" s="142"/>
      <c r="B160" s="145"/>
      <c r="C160" s="52">
        <v>12</v>
      </c>
      <c r="D160" s="35" t="s">
        <v>283</v>
      </c>
      <c r="E160" s="52">
        <v>22</v>
      </c>
      <c r="F160" s="52">
        <v>2</v>
      </c>
      <c r="G160" s="52">
        <v>2</v>
      </c>
      <c r="H160" s="52">
        <v>18</v>
      </c>
      <c r="I160" s="52">
        <v>24</v>
      </c>
      <c r="J160" s="52">
        <v>99</v>
      </c>
      <c r="K160" s="56">
        <v>-75</v>
      </c>
      <c r="L160" s="52">
        <v>8</v>
      </c>
      <c r="M160" s="53"/>
      <c r="N160" s="61">
        <v>1.1000000000000001</v>
      </c>
      <c r="O160" s="61">
        <v>4.5</v>
      </c>
      <c r="P160" s="45">
        <v>-3.4</v>
      </c>
      <c r="Q160" s="61">
        <v>0.4</v>
      </c>
    </row>
    <row r="162" spans="1:17" x14ac:dyDescent="0.25">
      <c r="A162" s="29"/>
      <c r="B162" s="29"/>
      <c r="C162" s="30"/>
      <c r="D162" s="31"/>
      <c r="E162" s="32" t="s">
        <v>351</v>
      </c>
      <c r="F162" s="32" t="s">
        <v>236</v>
      </c>
      <c r="G162" s="32" t="s">
        <v>237</v>
      </c>
      <c r="H162" s="32" t="s">
        <v>238</v>
      </c>
      <c r="I162" s="32" t="s">
        <v>247</v>
      </c>
      <c r="J162" s="32" t="s">
        <v>248</v>
      </c>
      <c r="K162" s="32" t="s">
        <v>241</v>
      </c>
      <c r="L162" s="32" t="s">
        <v>352</v>
      </c>
      <c r="M162" s="33"/>
      <c r="N162" s="32" t="s">
        <v>353</v>
      </c>
      <c r="O162" s="32" t="s">
        <v>354</v>
      </c>
      <c r="P162" s="32" t="s">
        <v>355</v>
      </c>
      <c r="Q162" s="32" t="s">
        <v>356</v>
      </c>
    </row>
    <row r="163" spans="1:17" x14ac:dyDescent="0.25">
      <c r="A163" s="138">
        <v>2023</v>
      </c>
      <c r="B163" s="140" t="s">
        <v>370</v>
      </c>
      <c r="C163" s="34">
        <v>1</v>
      </c>
      <c r="D163" s="57" t="s">
        <v>331</v>
      </c>
      <c r="E163" s="34">
        <v>22</v>
      </c>
      <c r="F163" s="34">
        <v>18</v>
      </c>
      <c r="G163" s="34">
        <v>2</v>
      </c>
      <c r="H163" s="34">
        <v>2</v>
      </c>
      <c r="I163" s="34">
        <v>68</v>
      </c>
      <c r="J163" s="34">
        <v>13</v>
      </c>
      <c r="K163" s="34">
        <v>55</v>
      </c>
      <c r="L163" s="60">
        <v>56</v>
      </c>
      <c r="N163" s="66">
        <f>I163/E163</f>
        <v>3.0909090909090908</v>
      </c>
      <c r="O163" s="66">
        <f>J163/E163</f>
        <v>0.59090909090909094</v>
      </c>
      <c r="P163" s="66">
        <f>N163-O163</f>
        <v>2.5</v>
      </c>
      <c r="Q163" s="66">
        <f>L163/E163</f>
        <v>2.5454545454545454</v>
      </c>
    </row>
    <row r="164" spans="1:17" x14ac:dyDescent="0.25">
      <c r="A164" s="139"/>
      <c r="B164" s="141"/>
      <c r="C164" s="34">
        <v>2</v>
      </c>
      <c r="D164" s="35" t="s">
        <v>375</v>
      </c>
      <c r="E164" s="34">
        <v>22</v>
      </c>
      <c r="F164" s="34">
        <v>13</v>
      </c>
      <c r="G164" s="34">
        <v>3</v>
      </c>
      <c r="H164" s="34">
        <v>6</v>
      </c>
      <c r="I164" s="34">
        <v>48</v>
      </c>
      <c r="J164" s="34">
        <v>33</v>
      </c>
      <c r="K164" s="34">
        <v>15</v>
      </c>
      <c r="L164" s="60">
        <v>42</v>
      </c>
      <c r="N164" s="66">
        <f t="shared" ref="N164:N174" si="0">I164/E164</f>
        <v>2.1818181818181817</v>
      </c>
      <c r="O164" s="66">
        <f t="shared" ref="O164:O174" si="1">J164/E164</f>
        <v>1.5</v>
      </c>
      <c r="P164" s="66">
        <f t="shared" ref="P164:P174" si="2">N164-O164</f>
        <v>0.68181818181818166</v>
      </c>
      <c r="Q164" s="66">
        <f t="shared" ref="Q164:Q174" si="3">L164/E164</f>
        <v>1.9090909090909092</v>
      </c>
    </row>
    <row r="165" spans="1:17" x14ac:dyDescent="0.25">
      <c r="A165" s="139"/>
      <c r="B165" s="141"/>
      <c r="C165" s="34">
        <v>3</v>
      </c>
      <c r="D165" s="57" t="s">
        <v>325</v>
      </c>
      <c r="E165" s="34">
        <v>22</v>
      </c>
      <c r="F165" s="34">
        <v>12</v>
      </c>
      <c r="G165" s="34">
        <v>3</v>
      </c>
      <c r="H165" s="34">
        <v>7</v>
      </c>
      <c r="I165" s="34">
        <v>68</v>
      </c>
      <c r="J165" s="34">
        <v>37</v>
      </c>
      <c r="K165" s="34">
        <v>31</v>
      </c>
      <c r="L165" s="60">
        <v>39</v>
      </c>
      <c r="N165" s="66">
        <f t="shared" si="0"/>
        <v>3.0909090909090908</v>
      </c>
      <c r="O165" s="66">
        <f t="shared" si="1"/>
        <v>1.6818181818181819</v>
      </c>
      <c r="P165" s="66">
        <f t="shared" si="2"/>
        <v>1.4090909090909089</v>
      </c>
      <c r="Q165" s="66">
        <f t="shared" si="3"/>
        <v>1.7727272727272727</v>
      </c>
    </row>
    <row r="166" spans="1:17" x14ac:dyDescent="0.25">
      <c r="A166" s="139"/>
      <c r="B166" s="141"/>
      <c r="C166" s="34">
        <v>4</v>
      </c>
      <c r="D166" s="57" t="s">
        <v>311</v>
      </c>
      <c r="E166" s="34">
        <v>22</v>
      </c>
      <c r="F166" s="34">
        <v>12</v>
      </c>
      <c r="G166" s="34">
        <v>2</v>
      </c>
      <c r="H166" s="34">
        <v>8</v>
      </c>
      <c r="I166" s="34">
        <v>44</v>
      </c>
      <c r="J166" s="34">
        <v>36</v>
      </c>
      <c r="K166" s="34">
        <v>8</v>
      </c>
      <c r="L166" s="60">
        <v>38</v>
      </c>
      <c r="N166" s="66">
        <f t="shared" si="0"/>
        <v>2</v>
      </c>
      <c r="O166" s="66">
        <f t="shared" si="1"/>
        <v>1.6363636363636365</v>
      </c>
      <c r="P166" s="66">
        <f t="shared" si="2"/>
        <v>0.36363636363636354</v>
      </c>
      <c r="Q166" s="66">
        <f t="shared" si="3"/>
        <v>1.7272727272727273</v>
      </c>
    </row>
    <row r="167" spans="1:17" x14ac:dyDescent="0.25">
      <c r="A167" s="139"/>
      <c r="B167" s="141"/>
      <c r="C167" s="34">
        <v>5</v>
      </c>
      <c r="D167" s="57" t="s">
        <v>323</v>
      </c>
      <c r="E167" s="34">
        <v>22</v>
      </c>
      <c r="F167" s="34">
        <v>11</v>
      </c>
      <c r="G167" s="34">
        <v>4</v>
      </c>
      <c r="H167" s="34">
        <v>7</v>
      </c>
      <c r="I167" s="34">
        <v>44</v>
      </c>
      <c r="J167" s="34">
        <v>34</v>
      </c>
      <c r="K167" s="34">
        <v>10</v>
      </c>
      <c r="L167" s="60">
        <v>37</v>
      </c>
      <c r="N167" s="66">
        <f t="shared" si="0"/>
        <v>2</v>
      </c>
      <c r="O167" s="66">
        <f t="shared" si="1"/>
        <v>1.5454545454545454</v>
      </c>
      <c r="P167" s="66">
        <f t="shared" si="2"/>
        <v>0.45454545454545459</v>
      </c>
      <c r="Q167" s="66">
        <f t="shared" si="3"/>
        <v>1.6818181818181819</v>
      </c>
    </row>
    <row r="168" spans="1:17" x14ac:dyDescent="0.25">
      <c r="A168" s="139"/>
      <c r="B168" s="141"/>
      <c r="C168" s="34">
        <v>6</v>
      </c>
      <c r="D168" s="57" t="s">
        <v>263</v>
      </c>
      <c r="E168" s="34">
        <v>22</v>
      </c>
      <c r="F168" s="34">
        <v>10</v>
      </c>
      <c r="G168" s="34">
        <v>5</v>
      </c>
      <c r="H168" s="34">
        <v>7</v>
      </c>
      <c r="I168" s="34">
        <v>40</v>
      </c>
      <c r="J168" s="34">
        <v>34</v>
      </c>
      <c r="K168" s="34">
        <v>6</v>
      </c>
      <c r="L168" s="60">
        <v>35</v>
      </c>
      <c r="N168" s="66">
        <f t="shared" si="0"/>
        <v>1.8181818181818181</v>
      </c>
      <c r="O168" s="66">
        <f t="shared" si="1"/>
        <v>1.5454545454545454</v>
      </c>
      <c r="P168" s="66">
        <f t="shared" si="2"/>
        <v>0.27272727272727271</v>
      </c>
      <c r="Q168" s="66">
        <f t="shared" si="3"/>
        <v>1.5909090909090908</v>
      </c>
    </row>
    <row r="169" spans="1:17" x14ac:dyDescent="0.25">
      <c r="A169" s="139"/>
      <c r="B169" s="141"/>
      <c r="C169" s="67">
        <v>7</v>
      </c>
      <c r="D169" s="68" t="s">
        <v>254</v>
      </c>
      <c r="E169" s="67">
        <v>22</v>
      </c>
      <c r="F169" s="67">
        <v>10</v>
      </c>
      <c r="G169" s="67">
        <v>3</v>
      </c>
      <c r="H169" s="67">
        <v>9</v>
      </c>
      <c r="I169" s="67">
        <v>51</v>
      </c>
      <c r="J169" s="67">
        <v>39</v>
      </c>
      <c r="K169" s="67">
        <v>12</v>
      </c>
      <c r="L169" s="67">
        <v>33</v>
      </c>
      <c r="M169" s="69"/>
      <c r="N169" s="70">
        <f t="shared" si="0"/>
        <v>2.3181818181818183</v>
      </c>
      <c r="O169" s="70">
        <f t="shared" si="1"/>
        <v>1.7727272727272727</v>
      </c>
      <c r="P169" s="70">
        <f t="shared" si="2"/>
        <v>0.54545454545454564</v>
      </c>
      <c r="Q169" s="70">
        <f t="shared" si="3"/>
        <v>1.5</v>
      </c>
    </row>
    <row r="170" spans="1:17" x14ac:dyDescent="0.25">
      <c r="A170" s="139"/>
      <c r="B170" s="141"/>
      <c r="C170" s="34">
        <v>8</v>
      </c>
      <c r="D170" s="57" t="s">
        <v>292</v>
      </c>
      <c r="E170" s="34">
        <v>22</v>
      </c>
      <c r="F170" s="34">
        <v>8</v>
      </c>
      <c r="G170" s="34">
        <v>3</v>
      </c>
      <c r="H170" s="34">
        <v>11</v>
      </c>
      <c r="I170" s="34">
        <v>36</v>
      </c>
      <c r="J170" s="34">
        <v>37</v>
      </c>
      <c r="K170" s="46">
        <v>-1</v>
      </c>
      <c r="L170" s="60">
        <v>27</v>
      </c>
      <c r="N170" s="66">
        <f t="shared" si="0"/>
        <v>1.6363636363636365</v>
      </c>
      <c r="O170" s="66">
        <f t="shared" si="1"/>
        <v>1.6818181818181819</v>
      </c>
      <c r="P170" s="66">
        <f t="shared" si="2"/>
        <v>-4.5454545454545414E-2</v>
      </c>
      <c r="Q170" s="66">
        <f t="shared" si="3"/>
        <v>1.2272727272727273</v>
      </c>
    </row>
    <row r="171" spans="1:17" x14ac:dyDescent="0.25">
      <c r="A171" s="139"/>
      <c r="B171" s="141"/>
      <c r="C171" s="34">
        <v>9</v>
      </c>
      <c r="D171" s="57" t="s">
        <v>284</v>
      </c>
      <c r="E171" s="34">
        <v>22</v>
      </c>
      <c r="F171" s="34">
        <v>7</v>
      </c>
      <c r="G171" s="34">
        <v>4</v>
      </c>
      <c r="H171" s="34">
        <v>11</v>
      </c>
      <c r="I171" s="34">
        <v>23</v>
      </c>
      <c r="J171" s="34">
        <v>39</v>
      </c>
      <c r="K171" s="46">
        <v>-16</v>
      </c>
      <c r="L171" s="60">
        <v>25</v>
      </c>
      <c r="N171" s="66">
        <f t="shared" si="0"/>
        <v>1.0454545454545454</v>
      </c>
      <c r="O171" s="66">
        <f t="shared" si="1"/>
        <v>1.7727272727272727</v>
      </c>
      <c r="P171" s="66">
        <f t="shared" si="2"/>
        <v>-0.72727272727272729</v>
      </c>
      <c r="Q171" s="66">
        <f t="shared" si="3"/>
        <v>1.1363636363636365</v>
      </c>
    </row>
    <row r="172" spans="1:17" x14ac:dyDescent="0.25">
      <c r="A172" s="139"/>
      <c r="B172" s="141"/>
      <c r="C172" s="34">
        <v>10</v>
      </c>
      <c r="D172" s="57" t="s">
        <v>298</v>
      </c>
      <c r="E172" s="34">
        <v>22</v>
      </c>
      <c r="F172" s="34">
        <v>7</v>
      </c>
      <c r="G172" s="34">
        <v>3</v>
      </c>
      <c r="H172" s="34">
        <v>12</v>
      </c>
      <c r="I172" s="34">
        <v>38</v>
      </c>
      <c r="J172" s="34">
        <v>44</v>
      </c>
      <c r="K172" s="46">
        <v>-6</v>
      </c>
      <c r="L172" s="60">
        <v>24</v>
      </c>
      <c r="N172" s="66">
        <f t="shared" si="0"/>
        <v>1.7272727272727273</v>
      </c>
      <c r="O172" s="66">
        <f t="shared" si="1"/>
        <v>2</v>
      </c>
      <c r="P172" s="66">
        <f t="shared" si="2"/>
        <v>-0.27272727272727271</v>
      </c>
      <c r="Q172" s="66">
        <f t="shared" si="3"/>
        <v>1.0909090909090908</v>
      </c>
    </row>
    <row r="173" spans="1:17" x14ac:dyDescent="0.25">
      <c r="A173" s="139"/>
      <c r="B173" s="141"/>
      <c r="C173" s="34">
        <v>11</v>
      </c>
      <c r="D173" s="57" t="s">
        <v>300</v>
      </c>
      <c r="E173" s="34">
        <v>22</v>
      </c>
      <c r="F173" s="34">
        <v>3</v>
      </c>
      <c r="G173" s="34">
        <v>4</v>
      </c>
      <c r="H173" s="34">
        <v>15</v>
      </c>
      <c r="I173" s="34">
        <v>36</v>
      </c>
      <c r="J173" s="34">
        <v>87</v>
      </c>
      <c r="K173" s="46">
        <v>-51</v>
      </c>
      <c r="L173" s="60">
        <v>13</v>
      </c>
      <c r="N173" s="66">
        <f t="shared" si="0"/>
        <v>1.6363636363636365</v>
      </c>
      <c r="O173" s="66">
        <f t="shared" si="1"/>
        <v>3.9545454545454546</v>
      </c>
      <c r="P173" s="66">
        <f t="shared" si="2"/>
        <v>-2.3181818181818183</v>
      </c>
      <c r="Q173" s="66">
        <f t="shared" si="3"/>
        <v>0.59090909090909094</v>
      </c>
    </row>
    <row r="174" spans="1:17" x14ac:dyDescent="0.25">
      <c r="A174" s="142"/>
      <c r="B174" s="146"/>
      <c r="C174" s="34">
        <v>12</v>
      </c>
      <c r="D174" s="57" t="s">
        <v>280</v>
      </c>
      <c r="E174" s="34">
        <v>22</v>
      </c>
      <c r="F174" s="34">
        <v>3</v>
      </c>
      <c r="G174" s="34"/>
      <c r="H174" s="34">
        <v>19</v>
      </c>
      <c r="I174" s="34">
        <v>22</v>
      </c>
      <c r="J174" s="34">
        <v>85</v>
      </c>
      <c r="K174" s="46">
        <v>-63</v>
      </c>
      <c r="L174" s="60">
        <v>9</v>
      </c>
      <c r="N174" s="66">
        <f t="shared" si="0"/>
        <v>1</v>
      </c>
      <c r="O174" s="66">
        <f t="shared" si="1"/>
        <v>3.8636363636363638</v>
      </c>
      <c r="P174" s="66">
        <f t="shared" si="2"/>
        <v>-2.8636363636363638</v>
      </c>
      <c r="Q174" s="66">
        <f t="shared" si="3"/>
        <v>0.40909090909090912</v>
      </c>
    </row>
    <row r="176" spans="1:17" x14ac:dyDescent="0.25">
      <c r="C176" s="30"/>
      <c r="D176" s="31"/>
      <c r="E176" s="32" t="s">
        <v>351</v>
      </c>
      <c r="F176" s="32" t="s">
        <v>236</v>
      </c>
      <c r="G176" s="32" t="s">
        <v>237</v>
      </c>
      <c r="H176" s="32" t="s">
        <v>238</v>
      </c>
      <c r="I176" s="32" t="s">
        <v>247</v>
      </c>
      <c r="J176" s="32" t="s">
        <v>248</v>
      </c>
      <c r="K176" s="32" t="s">
        <v>241</v>
      </c>
      <c r="L176" s="32" t="s">
        <v>352</v>
      </c>
      <c r="M176" s="33"/>
      <c r="N176" s="32" t="s">
        <v>353</v>
      </c>
      <c r="O176" s="32" t="s">
        <v>354</v>
      </c>
      <c r="P176" s="32" t="s">
        <v>355</v>
      </c>
      <c r="Q176" s="32" t="s">
        <v>356</v>
      </c>
    </row>
    <row r="177" spans="1:17" x14ac:dyDescent="0.25">
      <c r="A177" s="138">
        <v>2024</v>
      </c>
      <c r="B177" s="140" t="s">
        <v>370</v>
      </c>
      <c r="C177" s="34">
        <v>1</v>
      </c>
      <c r="D177" s="57" t="s">
        <v>270</v>
      </c>
      <c r="E177" s="34">
        <v>20</v>
      </c>
      <c r="F177" s="34">
        <v>16</v>
      </c>
      <c r="G177" s="34">
        <v>2</v>
      </c>
      <c r="H177" s="34">
        <v>2</v>
      </c>
      <c r="I177" s="34">
        <v>91</v>
      </c>
      <c r="J177" s="34">
        <v>33</v>
      </c>
      <c r="K177" s="34">
        <v>58</v>
      </c>
      <c r="L177" s="60">
        <v>50</v>
      </c>
      <c r="N177" s="66">
        <f>I177/E177</f>
        <v>4.55</v>
      </c>
      <c r="O177" s="66">
        <f>J177/E177</f>
        <v>1.65</v>
      </c>
      <c r="P177" s="66">
        <f>N177-O177</f>
        <v>2.9</v>
      </c>
      <c r="Q177" s="66">
        <f>L177/E177</f>
        <v>2.5</v>
      </c>
    </row>
    <row r="178" spans="1:17" x14ac:dyDescent="0.25">
      <c r="A178" s="139"/>
      <c r="B178" s="141"/>
      <c r="C178" s="71">
        <v>2</v>
      </c>
      <c r="D178" s="72" t="s">
        <v>254</v>
      </c>
      <c r="E178" s="71">
        <v>20</v>
      </c>
      <c r="F178" s="71">
        <v>15</v>
      </c>
      <c r="G178" s="71">
        <v>0</v>
      </c>
      <c r="H178" s="71">
        <v>5</v>
      </c>
      <c r="I178" s="71">
        <v>69</v>
      </c>
      <c r="J178" s="71">
        <v>28</v>
      </c>
      <c r="K178" s="71">
        <v>41</v>
      </c>
      <c r="L178" s="71">
        <v>45</v>
      </c>
      <c r="N178" s="70">
        <f t="shared" ref="N178:N187" si="4">I178/E178</f>
        <v>3.45</v>
      </c>
      <c r="O178" s="70">
        <f t="shared" ref="O178:O187" si="5">J178/E178</f>
        <v>1.4</v>
      </c>
      <c r="P178" s="70">
        <f t="shared" ref="P178:P187" si="6">N178-O178</f>
        <v>2.0500000000000003</v>
      </c>
      <c r="Q178" s="70">
        <f t="shared" ref="Q178:Q187" si="7">L178/E178</f>
        <v>2.25</v>
      </c>
    </row>
    <row r="179" spans="1:17" x14ac:dyDescent="0.25">
      <c r="A179" s="139"/>
      <c r="B179" s="141"/>
      <c r="C179" s="34">
        <v>3</v>
      </c>
      <c r="D179" s="57" t="s">
        <v>272</v>
      </c>
      <c r="E179" s="34">
        <v>20</v>
      </c>
      <c r="F179" s="34">
        <v>12</v>
      </c>
      <c r="G179" s="34">
        <v>4</v>
      </c>
      <c r="H179" s="34">
        <v>4</v>
      </c>
      <c r="I179" s="34">
        <v>64</v>
      </c>
      <c r="J179" s="34">
        <v>35</v>
      </c>
      <c r="K179" s="34">
        <v>29</v>
      </c>
      <c r="L179" s="60">
        <v>40</v>
      </c>
      <c r="N179" s="66">
        <f t="shared" si="4"/>
        <v>3.2</v>
      </c>
      <c r="O179" s="66">
        <f t="shared" si="5"/>
        <v>1.75</v>
      </c>
      <c r="P179" s="66">
        <f t="shared" si="6"/>
        <v>1.4500000000000002</v>
      </c>
      <c r="Q179" s="66">
        <f t="shared" si="7"/>
        <v>2</v>
      </c>
    </row>
    <row r="180" spans="1:17" x14ac:dyDescent="0.25">
      <c r="A180" s="139"/>
      <c r="B180" s="141"/>
      <c r="C180" s="34">
        <v>4</v>
      </c>
      <c r="D180" s="57" t="s">
        <v>323</v>
      </c>
      <c r="E180" s="34">
        <v>20</v>
      </c>
      <c r="F180" s="34">
        <v>11</v>
      </c>
      <c r="G180" s="34">
        <v>2</v>
      </c>
      <c r="H180" s="34">
        <v>7</v>
      </c>
      <c r="I180" s="34">
        <v>64</v>
      </c>
      <c r="J180" s="34">
        <v>40</v>
      </c>
      <c r="K180" s="34">
        <v>24</v>
      </c>
      <c r="L180" s="60">
        <v>35</v>
      </c>
      <c r="N180" s="66">
        <f t="shared" si="4"/>
        <v>3.2</v>
      </c>
      <c r="O180" s="66">
        <f t="shared" si="5"/>
        <v>2</v>
      </c>
      <c r="P180" s="66">
        <f t="shared" si="6"/>
        <v>1.2000000000000002</v>
      </c>
      <c r="Q180" s="66">
        <f t="shared" si="7"/>
        <v>1.75</v>
      </c>
    </row>
    <row r="181" spans="1:17" x14ac:dyDescent="0.25">
      <c r="A181" s="139"/>
      <c r="B181" s="141"/>
      <c r="C181" s="34">
        <v>5</v>
      </c>
      <c r="D181" s="57" t="s">
        <v>329</v>
      </c>
      <c r="E181" s="34">
        <v>20</v>
      </c>
      <c r="F181" s="34">
        <v>10</v>
      </c>
      <c r="G181" s="34">
        <v>4</v>
      </c>
      <c r="H181" s="34">
        <v>6</v>
      </c>
      <c r="I181" s="34">
        <v>50</v>
      </c>
      <c r="J181" s="34">
        <v>34</v>
      </c>
      <c r="K181" s="34">
        <v>16</v>
      </c>
      <c r="L181" s="60">
        <v>34</v>
      </c>
      <c r="N181" s="66">
        <f t="shared" si="4"/>
        <v>2.5</v>
      </c>
      <c r="O181" s="66">
        <f t="shared" si="5"/>
        <v>1.7</v>
      </c>
      <c r="P181" s="66">
        <f t="shared" si="6"/>
        <v>0.8</v>
      </c>
      <c r="Q181" s="66">
        <f t="shared" si="7"/>
        <v>1.7</v>
      </c>
    </row>
    <row r="182" spans="1:17" x14ac:dyDescent="0.25">
      <c r="A182" s="139"/>
      <c r="B182" s="141"/>
      <c r="C182" s="34">
        <v>6</v>
      </c>
      <c r="D182" s="57" t="s">
        <v>274</v>
      </c>
      <c r="E182" s="34">
        <v>20</v>
      </c>
      <c r="F182" s="34">
        <v>8</v>
      </c>
      <c r="G182" s="34">
        <v>3</v>
      </c>
      <c r="H182" s="34">
        <v>9</v>
      </c>
      <c r="I182" s="34">
        <v>44</v>
      </c>
      <c r="J182" s="34">
        <v>36</v>
      </c>
      <c r="K182" s="34">
        <v>8</v>
      </c>
      <c r="L182" s="60">
        <v>27</v>
      </c>
      <c r="N182" s="66">
        <f t="shared" si="4"/>
        <v>2.2000000000000002</v>
      </c>
      <c r="O182" s="66">
        <f t="shared" si="5"/>
        <v>1.8</v>
      </c>
      <c r="P182" s="66">
        <f t="shared" si="6"/>
        <v>0.40000000000000013</v>
      </c>
      <c r="Q182" s="66">
        <f t="shared" si="7"/>
        <v>1.35</v>
      </c>
    </row>
    <row r="183" spans="1:17" x14ac:dyDescent="0.25">
      <c r="A183" s="139"/>
      <c r="B183" s="141"/>
      <c r="C183" s="73">
        <v>7</v>
      </c>
      <c r="D183" s="74" t="s">
        <v>308</v>
      </c>
      <c r="E183" s="73">
        <v>20</v>
      </c>
      <c r="F183" s="73">
        <v>9</v>
      </c>
      <c r="G183" s="73">
        <v>0</v>
      </c>
      <c r="H183" s="73">
        <v>11</v>
      </c>
      <c r="I183" s="73">
        <v>37</v>
      </c>
      <c r="J183" s="73">
        <v>59</v>
      </c>
      <c r="K183" s="73">
        <v>-22</v>
      </c>
      <c r="L183" s="73">
        <v>27</v>
      </c>
      <c r="N183" s="66">
        <f t="shared" si="4"/>
        <v>1.85</v>
      </c>
      <c r="O183" s="66">
        <f t="shared" si="5"/>
        <v>2.95</v>
      </c>
      <c r="P183" s="66">
        <f t="shared" si="6"/>
        <v>-1.1000000000000001</v>
      </c>
      <c r="Q183" s="66">
        <f t="shared" si="7"/>
        <v>1.35</v>
      </c>
    </row>
    <row r="184" spans="1:17" x14ac:dyDescent="0.25">
      <c r="A184" s="139"/>
      <c r="B184" s="141"/>
      <c r="C184" s="34">
        <v>8</v>
      </c>
      <c r="D184" s="57" t="s">
        <v>348</v>
      </c>
      <c r="E184" s="34">
        <v>20</v>
      </c>
      <c r="F184" s="34">
        <v>6</v>
      </c>
      <c r="G184" s="34">
        <v>3</v>
      </c>
      <c r="H184" s="34">
        <v>11</v>
      </c>
      <c r="I184" s="34">
        <v>34</v>
      </c>
      <c r="J184" s="34">
        <v>64</v>
      </c>
      <c r="K184" s="46">
        <v>-30</v>
      </c>
      <c r="L184" s="60">
        <v>21</v>
      </c>
      <c r="N184" s="66">
        <f t="shared" si="4"/>
        <v>1.7</v>
      </c>
      <c r="O184" s="66">
        <f t="shared" si="5"/>
        <v>3.2</v>
      </c>
      <c r="P184" s="66">
        <f t="shared" si="6"/>
        <v>-1.5000000000000002</v>
      </c>
      <c r="Q184" s="66">
        <f t="shared" si="7"/>
        <v>1.05</v>
      </c>
    </row>
    <row r="185" spans="1:17" x14ac:dyDescent="0.25">
      <c r="A185" s="139"/>
      <c r="B185" s="141"/>
      <c r="C185" s="34">
        <v>9</v>
      </c>
      <c r="D185" s="57" t="s">
        <v>292</v>
      </c>
      <c r="E185" s="34">
        <v>20</v>
      </c>
      <c r="F185" s="34">
        <v>4</v>
      </c>
      <c r="G185" s="34">
        <v>3</v>
      </c>
      <c r="H185" s="34">
        <v>13</v>
      </c>
      <c r="I185" s="34">
        <v>19</v>
      </c>
      <c r="J185" s="34">
        <v>61</v>
      </c>
      <c r="K185" s="46">
        <v>-42</v>
      </c>
      <c r="L185" s="60">
        <v>15</v>
      </c>
      <c r="N185" s="66">
        <f t="shared" si="4"/>
        <v>0.95</v>
      </c>
      <c r="O185" s="66">
        <f t="shared" si="5"/>
        <v>3.05</v>
      </c>
      <c r="P185" s="66">
        <f t="shared" si="6"/>
        <v>-2.0999999999999996</v>
      </c>
      <c r="Q185" s="66">
        <f t="shared" si="7"/>
        <v>0.75</v>
      </c>
    </row>
    <row r="186" spans="1:17" x14ac:dyDescent="0.25">
      <c r="A186" s="139"/>
      <c r="B186" s="141"/>
      <c r="C186" s="34">
        <v>10</v>
      </c>
      <c r="D186" s="57" t="s">
        <v>304</v>
      </c>
      <c r="E186" s="34">
        <v>20</v>
      </c>
      <c r="F186" s="34">
        <v>4</v>
      </c>
      <c r="G186" s="34">
        <v>1</v>
      </c>
      <c r="H186" s="34">
        <v>15</v>
      </c>
      <c r="I186" s="34">
        <v>30</v>
      </c>
      <c r="J186" s="34">
        <v>56</v>
      </c>
      <c r="K186" s="46">
        <v>-26</v>
      </c>
      <c r="L186" s="60">
        <v>13</v>
      </c>
      <c r="N186" s="66">
        <f t="shared" si="4"/>
        <v>1.5</v>
      </c>
      <c r="O186" s="66">
        <f t="shared" si="5"/>
        <v>2.8</v>
      </c>
      <c r="P186" s="66">
        <f t="shared" si="6"/>
        <v>-1.2999999999999998</v>
      </c>
      <c r="Q186" s="66">
        <f t="shared" si="7"/>
        <v>0.65</v>
      </c>
    </row>
    <row r="187" spans="1:17" x14ac:dyDescent="0.25">
      <c r="A187" s="139"/>
      <c r="B187" s="141"/>
      <c r="C187" s="34">
        <v>11</v>
      </c>
      <c r="D187" s="57" t="s">
        <v>347</v>
      </c>
      <c r="E187" s="34">
        <v>20</v>
      </c>
      <c r="F187" s="34">
        <v>3</v>
      </c>
      <c r="G187" s="34">
        <v>2</v>
      </c>
      <c r="H187" s="34">
        <v>15</v>
      </c>
      <c r="I187" s="34">
        <v>27</v>
      </c>
      <c r="J187" s="34">
        <v>83</v>
      </c>
      <c r="K187" s="46">
        <v>-56</v>
      </c>
      <c r="L187" s="60">
        <v>11</v>
      </c>
      <c r="N187" s="66">
        <f t="shared" si="4"/>
        <v>1.35</v>
      </c>
      <c r="O187" s="66">
        <f t="shared" si="5"/>
        <v>4.1500000000000004</v>
      </c>
      <c r="P187" s="66">
        <f t="shared" si="6"/>
        <v>-2.8000000000000003</v>
      </c>
      <c r="Q187" s="66">
        <f t="shared" si="7"/>
        <v>0.55000000000000004</v>
      </c>
    </row>
    <row r="189" spans="1:17" x14ac:dyDescent="0.25">
      <c r="C189" s="30"/>
      <c r="D189" s="31"/>
      <c r="E189" s="32" t="s">
        <v>351</v>
      </c>
      <c r="F189" s="32" t="s">
        <v>236</v>
      </c>
      <c r="G189" s="32" t="s">
        <v>237</v>
      </c>
      <c r="H189" s="32" t="s">
        <v>238</v>
      </c>
      <c r="I189" s="32" t="s">
        <v>247</v>
      </c>
      <c r="J189" s="32" t="s">
        <v>248</v>
      </c>
      <c r="K189" s="32" t="s">
        <v>241</v>
      </c>
      <c r="L189" s="32" t="s">
        <v>352</v>
      </c>
      <c r="M189" s="33"/>
      <c r="N189" s="32" t="s">
        <v>353</v>
      </c>
      <c r="O189" s="32" t="s">
        <v>354</v>
      </c>
      <c r="P189" s="32" t="s">
        <v>355</v>
      </c>
      <c r="Q189" s="32" t="s">
        <v>356</v>
      </c>
    </row>
    <row r="190" spans="1:17" x14ac:dyDescent="0.25">
      <c r="A190" s="138">
        <v>2026</v>
      </c>
      <c r="B190" s="140" t="s">
        <v>376</v>
      </c>
      <c r="C190" s="34">
        <v>1</v>
      </c>
      <c r="D190" s="57" t="str">
        <f>[1]TABELL!$B$2</f>
        <v>Vanneberga IF</v>
      </c>
      <c r="E190" s="34">
        <f>F190+H190+G190</f>
        <v>3</v>
      </c>
      <c r="F190" s="34">
        <f>_xlfn.XLOOKUP(D190,[1]!Tabell16[Team],[1]!Tabell16[VINST])</f>
        <v>3</v>
      </c>
      <c r="G190" s="34">
        <f>_xlfn.XLOOKUP(D190,[1]!Tabell16[Team],[1]!Tabell16[OAVGJORT])</f>
        <v>0</v>
      </c>
      <c r="H190" s="34">
        <f>_xlfn.XLOOKUP(D190,[1]!Tabell16[Team],[1]!Tabell16[FÖRLUST])</f>
        <v>0</v>
      </c>
      <c r="I190" s="34">
        <f>_xlfn.XLOOKUP(D190,[1]!Tabell16[Team],[1]!Tabell16[GM])</f>
        <v>16</v>
      </c>
      <c r="J190" s="34">
        <f>_xlfn.XLOOKUP(D190,[1]!Tabell16[Team],[1]!Tabell16[IM])</f>
        <v>1</v>
      </c>
      <c r="K190" s="34">
        <f>I190-J190</f>
        <v>15</v>
      </c>
      <c r="L190" s="60">
        <f>(F190*3)+G190</f>
        <v>9</v>
      </c>
      <c r="N190" s="66">
        <f>IFERROR(I190/E190,"")</f>
        <v>5.333333333333333</v>
      </c>
      <c r="O190" s="66">
        <f>IFERROR(J190/E190,"")</f>
        <v>0.33333333333333331</v>
      </c>
      <c r="P190" s="66">
        <f>IFERROR(N190-O190,"")</f>
        <v>5</v>
      </c>
      <c r="Q190" s="66">
        <f>IFERROR(L190/E190,"")</f>
        <v>3</v>
      </c>
    </row>
    <row r="191" spans="1:17" x14ac:dyDescent="0.25">
      <c r="A191" s="139"/>
      <c r="B191" s="141"/>
      <c r="C191" s="34">
        <v>2</v>
      </c>
      <c r="D191" s="57" t="str">
        <f>[1]TABELL!$B$3</f>
        <v>Åhus IF</v>
      </c>
      <c r="E191" s="34">
        <f t="shared" ref="E191:E199" si="8">F191+H191+G191</f>
        <v>3</v>
      </c>
      <c r="F191" s="34">
        <f>_xlfn.XLOOKUP(D191,[1]!Tabell16[Team],[1]!Tabell16[VINST])</f>
        <v>2</v>
      </c>
      <c r="G191" s="34">
        <f>_xlfn.XLOOKUP(D191,[1]!Tabell16[Team],[1]!Tabell16[OAVGJORT])</f>
        <v>1</v>
      </c>
      <c r="H191" s="34">
        <f>_xlfn.XLOOKUP(D191,[1]!Tabell16[Team],[1]!Tabell16[FÖRLUST])</f>
        <v>0</v>
      </c>
      <c r="I191" s="34">
        <f>_xlfn.XLOOKUP(D191,[1]!Tabell16[Team],[1]!Tabell16[GM])</f>
        <v>26</v>
      </c>
      <c r="J191" s="34">
        <f>_xlfn.XLOOKUP(D191,[1]!Tabell16[Team],[1]!Tabell16[IM])</f>
        <v>2</v>
      </c>
      <c r="K191" s="34">
        <f t="shared" ref="K191:K199" si="9">I191-J191</f>
        <v>24</v>
      </c>
      <c r="L191" s="60">
        <f t="shared" ref="L191:L199" si="10">(F191*3)+G191</f>
        <v>7</v>
      </c>
      <c r="N191" s="66">
        <f t="shared" ref="N191:N199" si="11">IFERROR(I191/E191,"")</f>
        <v>8.6666666666666661</v>
      </c>
      <c r="O191" s="66">
        <f t="shared" ref="O191:O199" si="12">IFERROR(J191/E191,"")</f>
        <v>0.66666666666666663</v>
      </c>
      <c r="P191" s="66">
        <f t="shared" ref="P191:P199" si="13">IFERROR(N191-O191,"")</f>
        <v>7.9999999999999991</v>
      </c>
      <c r="Q191" s="66">
        <f t="shared" ref="Q191:Q199" si="14">IFERROR(L191/E191,"")</f>
        <v>2.3333333333333335</v>
      </c>
    </row>
    <row r="192" spans="1:17" x14ac:dyDescent="0.25">
      <c r="A192" s="139"/>
      <c r="B192" s="141"/>
      <c r="C192" s="34">
        <v>3</v>
      </c>
      <c r="D192" s="57" t="str">
        <f>[1]TABELL!$B$4</f>
        <v>Balsby SK</v>
      </c>
      <c r="E192" s="34">
        <f t="shared" si="8"/>
        <v>3</v>
      </c>
      <c r="F192" s="34">
        <f>_xlfn.XLOOKUP(D192,[1]!Tabell16[Team],[1]!Tabell16[VINST])</f>
        <v>2</v>
      </c>
      <c r="G192" s="34">
        <f>_xlfn.XLOOKUP(D192,[1]!Tabell16[Team],[1]!Tabell16[OAVGJORT])</f>
        <v>1</v>
      </c>
      <c r="H192" s="34">
        <f>_xlfn.XLOOKUP(D192,[1]!Tabell16[Team],[1]!Tabell16[FÖRLUST])</f>
        <v>0</v>
      </c>
      <c r="I192" s="34">
        <f>_xlfn.XLOOKUP(D192,[1]!Tabell16[Team],[1]!Tabell16[GM])</f>
        <v>13</v>
      </c>
      <c r="J192" s="34">
        <f>_xlfn.XLOOKUP(D192,[1]!Tabell16[Team],[1]!Tabell16[IM])</f>
        <v>2</v>
      </c>
      <c r="K192" s="34">
        <f t="shared" si="9"/>
        <v>11</v>
      </c>
      <c r="L192" s="60">
        <f t="shared" si="10"/>
        <v>7</v>
      </c>
      <c r="N192" s="66">
        <f t="shared" si="11"/>
        <v>4.333333333333333</v>
      </c>
      <c r="O192" s="66">
        <f t="shared" si="12"/>
        <v>0.66666666666666663</v>
      </c>
      <c r="P192" s="66">
        <f t="shared" si="13"/>
        <v>3.6666666666666665</v>
      </c>
      <c r="Q192" s="66">
        <f t="shared" si="14"/>
        <v>2.3333333333333335</v>
      </c>
    </row>
    <row r="193" spans="1:21" x14ac:dyDescent="0.25">
      <c r="A193" s="139"/>
      <c r="B193" s="141"/>
      <c r="C193" s="34">
        <v>4</v>
      </c>
      <c r="D193" s="57" t="str">
        <f>[1]TABELL!$B$5</f>
        <v>Höörs IS/Maglasäte IF</v>
      </c>
      <c r="E193" s="34">
        <f t="shared" si="8"/>
        <v>3</v>
      </c>
      <c r="F193" s="34">
        <f>_xlfn.XLOOKUP(D193,[1]!Tabell16[Team],[1]!Tabell16[VINST])</f>
        <v>2</v>
      </c>
      <c r="G193" s="34">
        <f>_xlfn.XLOOKUP(D193,[1]!Tabell16[Team],[1]!Tabell16[OAVGJORT])</f>
        <v>0</v>
      </c>
      <c r="H193" s="34">
        <f>_xlfn.XLOOKUP(D193,[1]!Tabell16[Team],[1]!Tabell16[FÖRLUST])</f>
        <v>1</v>
      </c>
      <c r="I193" s="34">
        <f>_xlfn.XLOOKUP(D193,[1]!Tabell16[Team],[1]!Tabell16[GM])</f>
        <v>14</v>
      </c>
      <c r="J193" s="34">
        <f>_xlfn.XLOOKUP(D193,[1]!Tabell16[Team],[1]!Tabell16[IM])</f>
        <v>9</v>
      </c>
      <c r="K193" s="34">
        <f t="shared" si="9"/>
        <v>5</v>
      </c>
      <c r="L193" s="60">
        <f t="shared" si="10"/>
        <v>6</v>
      </c>
      <c r="N193" s="66">
        <f t="shared" si="11"/>
        <v>4.666666666666667</v>
      </c>
      <c r="O193" s="66">
        <f t="shared" si="12"/>
        <v>3</v>
      </c>
      <c r="P193" s="66">
        <f t="shared" si="13"/>
        <v>1.666666666666667</v>
      </c>
      <c r="Q193" s="66">
        <f t="shared" si="14"/>
        <v>2</v>
      </c>
    </row>
    <row r="194" spans="1:21" x14ac:dyDescent="0.25">
      <c r="A194" s="139"/>
      <c r="B194" s="141"/>
      <c r="C194" s="34">
        <v>5</v>
      </c>
      <c r="D194" s="57" t="str">
        <f>[1]TABELL!$B$6</f>
        <v>Vinnö IF</v>
      </c>
      <c r="E194" s="34">
        <f t="shared" si="8"/>
        <v>3</v>
      </c>
      <c r="F194" s="34">
        <f>_xlfn.XLOOKUP(D194,[1]!Tabell16[Team],[1]!Tabell16[VINST])</f>
        <v>2</v>
      </c>
      <c r="G194" s="34">
        <f>_xlfn.XLOOKUP(D194,[1]!Tabell16[Team],[1]!Tabell16[OAVGJORT])</f>
        <v>0</v>
      </c>
      <c r="H194" s="34">
        <f>_xlfn.XLOOKUP(D194,[1]!Tabell16[Team],[1]!Tabell16[FÖRLUST])</f>
        <v>1</v>
      </c>
      <c r="I194" s="34">
        <f>_xlfn.XLOOKUP(D194,[1]!Tabell16[Team],[1]!Tabell16[GM])</f>
        <v>7</v>
      </c>
      <c r="J194" s="34">
        <f>_xlfn.XLOOKUP(D194,[1]!Tabell16[Team],[1]!Tabell16[IM])</f>
        <v>13</v>
      </c>
      <c r="K194" s="34">
        <f t="shared" si="9"/>
        <v>-6</v>
      </c>
      <c r="L194" s="60">
        <f t="shared" si="10"/>
        <v>6</v>
      </c>
      <c r="N194" s="66">
        <f t="shared" si="11"/>
        <v>2.3333333333333335</v>
      </c>
      <c r="O194" s="66">
        <f t="shared" si="12"/>
        <v>4.333333333333333</v>
      </c>
      <c r="P194" s="66">
        <f t="shared" si="13"/>
        <v>-1.9999999999999996</v>
      </c>
      <c r="Q194" s="66">
        <f t="shared" si="14"/>
        <v>2</v>
      </c>
    </row>
    <row r="195" spans="1:21" x14ac:dyDescent="0.25">
      <c r="A195" s="139"/>
      <c r="B195" s="141"/>
      <c r="C195" s="34">
        <v>6</v>
      </c>
      <c r="D195" s="57" t="str">
        <f>[1]TABELL!$B$2</f>
        <v>Vanneberga IF</v>
      </c>
      <c r="E195" s="34">
        <f t="shared" si="8"/>
        <v>3</v>
      </c>
      <c r="F195" s="34">
        <f>_xlfn.XLOOKUP(D195,[1]!Tabell16[Team],[1]!Tabell16[VINST])</f>
        <v>3</v>
      </c>
      <c r="G195" s="34">
        <f>_xlfn.XLOOKUP(D195,[1]!Tabell16[Team],[1]!Tabell16[OAVGJORT])</f>
        <v>0</v>
      </c>
      <c r="H195" s="34">
        <f>_xlfn.XLOOKUP(D195,[1]!Tabell16[Team],[1]!Tabell16[FÖRLUST])</f>
        <v>0</v>
      </c>
      <c r="I195" s="34">
        <f>_xlfn.XLOOKUP(D195,[1]!Tabell16[Team],[1]!Tabell16[GM])</f>
        <v>16</v>
      </c>
      <c r="J195" s="34">
        <f>_xlfn.XLOOKUP(D195,[1]!Tabell16[Team],[1]!Tabell16[IM])</f>
        <v>1</v>
      </c>
      <c r="K195" s="34">
        <f t="shared" si="9"/>
        <v>15</v>
      </c>
      <c r="L195" s="60">
        <f t="shared" si="10"/>
        <v>9</v>
      </c>
      <c r="N195" s="66">
        <f t="shared" si="11"/>
        <v>5.333333333333333</v>
      </c>
      <c r="O195" s="66">
        <f t="shared" si="12"/>
        <v>0.33333333333333331</v>
      </c>
      <c r="P195" s="66">
        <f t="shared" si="13"/>
        <v>5</v>
      </c>
      <c r="Q195" s="66">
        <f t="shared" si="14"/>
        <v>3</v>
      </c>
    </row>
    <row r="196" spans="1:21" x14ac:dyDescent="0.25">
      <c r="A196" s="139"/>
      <c r="B196" s="141"/>
      <c r="C196" s="34">
        <v>7</v>
      </c>
      <c r="D196" s="57" t="str">
        <f>[1]TABELL!$B$8</f>
        <v>Ovesholms IF</v>
      </c>
      <c r="E196" s="34">
        <f t="shared" si="8"/>
        <v>3</v>
      </c>
      <c r="F196" s="34">
        <f>_xlfn.XLOOKUP(D196,[1]!Tabell16[Team],[1]!Tabell16[VINST])</f>
        <v>1</v>
      </c>
      <c r="G196" s="34">
        <f>_xlfn.XLOOKUP(D196,[1]!Tabell16[Team],[1]!Tabell16[OAVGJORT])</f>
        <v>0</v>
      </c>
      <c r="H196" s="34">
        <f>_xlfn.XLOOKUP(D196,[1]!Tabell16[Team],[1]!Tabell16[FÖRLUST])</f>
        <v>2</v>
      </c>
      <c r="I196" s="34">
        <f>_xlfn.XLOOKUP(D196,[1]!Tabell16[Team],[1]!Tabell16[GM])</f>
        <v>5</v>
      </c>
      <c r="J196" s="34">
        <f>_xlfn.XLOOKUP(D196,[1]!Tabell16[Team],[1]!Tabell16[IM])</f>
        <v>6</v>
      </c>
      <c r="K196" s="34">
        <f t="shared" si="9"/>
        <v>-1</v>
      </c>
      <c r="L196" s="60">
        <f t="shared" si="10"/>
        <v>3</v>
      </c>
      <c r="N196" s="66">
        <f t="shared" si="11"/>
        <v>1.6666666666666667</v>
      </c>
      <c r="O196" s="66">
        <f t="shared" si="12"/>
        <v>2</v>
      </c>
      <c r="P196" s="66">
        <f t="shared" si="13"/>
        <v>-0.33333333333333326</v>
      </c>
      <c r="Q196" s="66">
        <f t="shared" si="14"/>
        <v>1</v>
      </c>
    </row>
    <row r="197" spans="1:21" x14ac:dyDescent="0.25">
      <c r="A197" s="139"/>
      <c r="B197" s="141"/>
      <c r="C197" s="34">
        <v>8</v>
      </c>
      <c r="D197" s="57" t="str">
        <f>[1]TABELL!$B$9</f>
        <v>Rinkaby GoIF</v>
      </c>
      <c r="E197" s="34">
        <f t="shared" si="8"/>
        <v>3</v>
      </c>
      <c r="F197" s="34">
        <f>_xlfn.XLOOKUP(D197,[1]!Tabell16[Team],[1]!Tabell16[VINST])</f>
        <v>1</v>
      </c>
      <c r="G197" s="34">
        <f>_xlfn.XLOOKUP(D197,[1]!Tabell16[Team],[1]!Tabell16[OAVGJORT])</f>
        <v>0</v>
      </c>
      <c r="H197" s="34">
        <f>_xlfn.XLOOKUP(D197,[1]!Tabell16[Team],[1]!Tabell16[FÖRLUST])</f>
        <v>2</v>
      </c>
      <c r="I197" s="34">
        <f>_xlfn.XLOOKUP(D197,[1]!Tabell16[Team],[1]!Tabell16[GM])</f>
        <v>4</v>
      </c>
      <c r="J197" s="34">
        <f>_xlfn.XLOOKUP(D197,[1]!Tabell16[Team],[1]!Tabell16[IM])</f>
        <v>12</v>
      </c>
      <c r="K197" s="34">
        <f t="shared" si="9"/>
        <v>-8</v>
      </c>
      <c r="L197" s="60">
        <f t="shared" si="10"/>
        <v>3</v>
      </c>
      <c r="N197" s="66">
        <f t="shared" si="11"/>
        <v>1.3333333333333333</v>
      </c>
      <c r="O197" s="66">
        <f t="shared" si="12"/>
        <v>4</v>
      </c>
      <c r="P197" s="66">
        <f t="shared" si="13"/>
        <v>-2.666666666666667</v>
      </c>
      <c r="Q197" s="66">
        <f t="shared" si="14"/>
        <v>1</v>
      </c>
    </row>
    <row r="198" spans="1:21" x14ac:dyDescent="0.25">
      <c r="A198" s="139"/>
      <c r="B198" s="141"/>
      <c r="C198" s="34">
        <v>9</v>
      </c>
      <c r="D198" s="57" t="str">
        <f>[1]TABELL!$B$10</f>
        <v>Kristianstads DFF IF</v>
      </c>
      <c r="E198" s="34">
        <f t="shared" si="8"/>
        <v>3</v>
      </c>
      <c r="F198" s="34">
        <f>_xlfn.XLOOKUP(D198,[1]!Tabell16[Team],[1]!Tabell16[VINST])</f>
        <v>0</v>
      </c>
      <c r="G198" s="34">
        <f>_xlfn.XLOOKUP(D198,[1]!Tabell16[Team],[1]!Tabell16[OAVGJORT])</f>
        <v>0</v>
      </c>
      <c r="H198" s="34">
        <f>_xlfn.XLOOKUP(D198,[1]!Tabell16[Team],[1]!Tabell16[FÖRLUST])</f>
        <v>3</v>
      </c>
      <c r="I198" s="34">
        <f>_xlfn.XLOOKUP(D198,[1]!Tabell16[Team],[1]!Tabell16[GM])</f>
        <v>4</v>
      </c>
      <c r="J198" s="34">
        <f>_xlfn.XLOOKUP(D198,[1]!Tabell16[Team],[1]!Tabell16[IM])</f>
        <v>13</v>
      </c>
      <c r="K198" s="34">
        <f t="shared" si="9"/>
        <v>-9</v>
      </c>
      <c r="L198" s="60">
        <f t="shared" si="10"/>
        <v>0</v>
      </c>
      <c r="N198" s="66">
        <f t="shared" si="11"/>
        <v>1.3333333333333333</v>
      </c>
      <c r="O198" s="66">
        <f t="shared" si="12"/>
        <v>4.333333333333333</v>
      </c>
      <c r="P198" s="66">
        <f t="shared" si="13"/>
        <v>-3</v>
      </c>
      <c r="Q198" s="66">
        <f t="shared" si="14"/>
        <v>0</v>
      </c>
    </row>
    <row r="199" spans="1:21" x14ac:dyDescent="0.25">
      <c r="A199" s="139"/>
      <c r="B199" s="141"/>
      <c r="C199" s="34">
        <v>10</v>
      </c>
      <c r="D199" s="57" t="str">
        <f>[1]TABELL!$B$11</f>
        <v>Svensköps IF</v>
      </c>
      <c r="E199" s="34">
        <f t="shared" si="8"/>
        <v>3</v>
      </c>
      <c r="F199" s="34">
        <f>_xlfn.XLOOKUP(D199,[1]!Tabell16[Team],[1]!Tabell16[VINST])</f>
        <v>0</v>
      </c>
      <c r="G199" s="34">
        <f>_xlfn.XLOOKUP(D199,[1]!Tabell16[Team],[1]!Tabell16[OAVGJORT])</f>
        <v>0</v>
      </c>
      <c r="H199" s="34">
        <f>_xlfn.XLOOKUP(D199,[1]!Tabell16[Team],[1]!Tabell16[FÖRLUST])</f>
        <v>3</v>
      </c>
      <c r="I199" s="34">
        <f>_xlfn.XLOOKUP(D199,[1]!Tabell16[Team],[1]!Tabell16[GM])</f>
        <v>1</v>
      </c>
      <c r="J199" s="34">
        <f>_xlfn.XLOOKUP(D199,[1]!Tabell16[Team],[1]!Tabell16[IM])</f>
        <v>31</v>
      </c>
      <c r="K199" s="34">
        <f t="shared" si="9"/>
        <v>-30</v>
      </c>
      <c r="L199" s="60">
        <f t="shared" si="10"/>
        <v>0</v>
      </c>
      <c r="N199" s="66">
        <f t="shared" si="11"/>
        <v>0.33333333333333331</v>
      </c>
      <c r="O199" s="66">
        <f t="shared" si="12"/>
        <v>10.333333333333334</v>
      </c>
      <c r="P199" s="66">
        <f t="shared" si="13"/>
        <v>-10</v>
      </c>
      <c r="Q199" s="66">
        <f t="shared" si="14"/>
        <v>0</v>
      </c>
    </row>
    <row r="203" spans="1:21" x14ac:dyDescent="0.25">
      <c r="A203" s="75" t="s">
        <v>0</v>
      </c>
      <c r="B203" s="75" t="s">
        <v>227</v>
      </c>
      <c r="C203" s="76" t="s">
        <v>377</v>
      </c>
      <c r="D203" s="75" t="s">
        <v>246</v>
      </c>
      <c r="E203" s="77" t="s">
        <v>351</v>
      </c>
      <c r="F203" s="77" t="s">
        <v>236</v>
      </c>
      <c r="G203" s="77" t="s">
        <v>237</v>
      </c>
      <c r="H203" s="77" t="s">
        <v>238</v>
      </c>
      <c r="I203" s="77" t="s">
        <v>247</v>
      </c>
      <c r="J203" s="77" t="s">
        <v>248</v>
      </c>
      <c r="K203" s="77" t="s">
        <v>241</v>
      </c>
      <c r="L203" s="77" t="s">
        <v>352</v>
      </c>
      <c r="M203" s="78" t="s">
        <v>210</v>
      </c>
      <c r="N203" s="77" t="s">
        <v>353</v>
      </c>
      <c r="O203" s="77" t="s">
        <v>354</v>
      </c>
      <c r="P203" s="77" t="s">
        <v>355</v>
      </c>
      <c r="Q203" s="77" t="s">
        <v>356</v>
      </c>
      <c r="R203" s="77" t="s">
        <v>209</v>
      </c>
      <c r="S203" s="77" t="s">
        <v>243</v>
      </c>
      <c r="T203" s="77" t="s">
        <v>244</v>
      </c>
      <c r="U203" s="77" t="s">
        <v>245</v>
      </c>
    </row>
    <row r="204" spans="1:21" x14ac:dyDescent="0.25">
      <c r="A204" s="12">
        <v>2010</v>
      </c>
      <c r="B204" s="11" t="s">
        <v>357</v>
      </c>
      <c r="C204" s="79">
        <v>7</v>
      </c>
      <c r="D204" s="78" t="s">
        <v>254</v>
      </c>
      <c r="E204" s="80">
        <v>22</v>
      </c>
      <c r="F204" s="80">
        <v>10</v>
      </c>
      <c r="G204" s="80">
        <v>1</v>
      </c>
      <c r="H204" s="80">
        <v>11</v>
      </c>
      <c r="I204" s="80">
        <v>40</v>
      </c>
      <c r="J204" s="80">
        <v>45</v>
      </c>
      <c r="K204" s="81">
        <v>-5</v>
      </c>
      <c r="L204" s="82">
        <v>31</v>
      </c>
      <c r="M204" s="83"/>
      <c r="N204" s="79">
        <v>1.8</v>
      </c>
      <c r="O204" s="79">
        <v>2</v>
      </c>
      <c r="P204" s="84">
        <v>-0.2</v>
      </c>
      <c r="Q204" s="79">
        <v>1.4</v>
      </c>
      <c r="R204" s="85">
        <f>Tabell26[[#This Row],[ÅR]]</f>
        <v>2010</v>
      </c>
      <c r="S204" s="86">
        <f>Tabell26[[#This Row],[V]]/Tabell26[[#This Row],[S]]</f>
        <v>0.45454545454545453</v>
      </c>
      <c r="T204" s="86">
        <f>Tabell26[[#This Row],[O]]/Tabell26[[#This Row],[S]]</f>
        <v>4.5454545454545456E-2</v>
      </c>
      <c r="U204" s="86">
        <f>Tabell26[[#This Row],[F]]/Tabell26[[#This Row],[S]]</f>
        <v>0.5</v>
      </c>
    </row>
    <row r="205" spans="1:21" x14ac:dyDescent="0.25">
      <c r="A205" s="12">
        <v>2011</v>
      </c>
      <c r="B205" s="11" t="s">
        <v>361</v>
      </c>
      <c r="C205" s="79">
        <v>10</v>
      </c>
      <c r="D205" s="78" t="s">
        <v>254</v>
      </c>
      <c r="E205" s="80">
        <v>22</v>
      </c>
      <c r="F205" s="80">
        <v>4</v>
      </c>
      <c r="G205" s="80">
        <v>10</v>
      </c>
      <c r="H205" s="80">
        <v>8</v>
      </c>
      <c r="I205" s="80">
        <v>26</v>
      </c>
      <c r="J205" s="80">
        <v>42</v>
      </c>
      <c r="K205" s="81">
        <v>-16</v>
      </c>
      <c r="L205" s="82">
        <v>22</v>
      </c>
      <c r="M205" s="83"/>
      <c r="N205" s="79">
        <v>1.2</v>
      </c>
      <c r="O205" s="79">
        <v>1.9</v>
      </c>
      <c r="P205" s="84">
        <v>-0.7</v>
      </c>
      <c r="Q205" s="79">
        <v>1</v>
      </c>
      <c r="R205" s="85">
        <f>Tabell26[[#This Row],[ÅR]]</f>
        <v>2011</v>
      </c>
      <c r="S205" s="86">
        <f>Tabell26[[#This Row],[V]]/Tabell26[[#This Row],[S]]</f>
        <v>0.18181818181818182</v>
      </c>
      <c r="T205" s="86">
        <f>Tabell26[[#This Row],[O]]/Tabell26[[#This Row],[S]]</f>
        <v>0.45454545454545453</v>
      </c>
      <c r="U205" s="86">
        <f>Tabell26[[#This Row],[F]]/Tabell26[[#This Row],[S]]</f>
        <v>0.36363636363636365</v>
      </c>
    </row>
    <row r="206" spans="1:21" x14ac:dyDescent="0.25">
      <c r="A206" s="12">
        <v>2012</v>
      </c>
      <c r="B206" s="11" t="s">
        <v>362</v>
      </c>
      <c r="C206" s="79">
        <v>10</v>
      </c>
      <c r="D206" s="78" t="s">
        <v>254</v>
      </c>
      <c r="E206" s="80">
        <v>18</v>
      </c>
      <c r="F206" s="80">
        <v>1</v>
      </c>
      <c r="G206" s="80">
        <v>2</v>
      </c>
      <c r="H206" s="80">
        <v>15</v>
      </c>
      <c r="I206" s="80">
        <v>18</v>
      </c>
      <c r="J206" s="80">
        <v>68</v>
      </c>
      <c r="K206" s="81">
        <v>-50</v>
      </c>
      <c r="L206" s="82">
        <v>5</v>
      </c>
      <c r="M206" s="83"/>
      <c r="N206" s="79">
        <v>1</v>
      </c>
      <c r="O206" s="79">
        <v>3.8</v>
      </c>
      <c r="P206" s="84">
        <v>-2.8</v>
      </c>
      <c r="Q206" s="79">
        <v>0.3</v>
      </c>
      <c r="R206" s="85">
        <f>Tabell26[[#This Row],[ÅR]]</f>
        <v>2012</v>
      </c>
      <c r="S206" s="86">
        <f>Tabell26[[#This Row],[V]]/Tabell26[[#This Row],[S]]</f>
        <v>5.5555555555555552E-2</v>
      </c>
      <c r="T206" s="86">
        <f>Tabell26[[#This Row],[O]]/Tabell26[[#This Row],[S]]</f>
        <v>0.1111111111111111</v>
      </c>
      <c r="U206" s="86">
        <f>Tabell26[[#This Row],[F]]/Tabell26[[#This Row],[S]]</f>
        <v>0.83333333333333337</v>
      </c>
    </row>
    <row r="207" spans="1:21" x14ac:dyDescent="0.25">
      <c r="A207" s="12">
        <v>2013</v>
      </c>
      <c r="B207" s="11" t="s">
        <v>362</v>
      </c>
      <c r="C207" s="79">
        <v>3</v>
      </c>
      <c r="D207" s="78" t="s">
        <v>254</v>
      </c>
      <c r="E207" s="80">
        <v>10</v>
      </c>
      <c r="F207" s="80">
        <v>4</v>
      </c>
      <c r="G207" s="80">
        <v>4</v>
      </c>
      <c r="H207" s="80">
        <v>2</v>
      </c>
      <c r="I207" s="80">
        <v>30</v>
      </c>
      <c r="J207" s="80">
        <v>15</v>
      </c>
      <c r="K207" s="80">
        <v>15</v>
      </c>
      <c r="L207" s="82">
        <v>16</v>
      </c>
      <c r="M207" s="83"/>
      <c r="N207" s="79">
        <v>3</v>
      </c>
      <c r="O207" s="79">
        <v>1.5</v>
      </c>
      <c r="P207" s="84">
        <v>1.5</v>
      </c>
      <c r="Q207" s="79">
        <v>1.6</v>
      </c>
      <c r="R207" s="85">
        <f>Tabell26[[#This Row],[ÅR]]</f>
        <v>2013</v>
      </c>
      <c r="S207" s="86">
        <f>Tabell26[[#This Row],[V]]/Tabell26[[#This Row],[S]]</f>
        <v>0.4</v>
      </c>
      <c r="T207" s="86">
        <f>Tabell26[[#This Row],[O]]/Tabell26[[#This Row],[S]]</f>
        <v>0.4</v>
      </c>
      <c r="U207" s="86">
        <f>Tabell26[[#This Row],[F]]/Tabell26[[#This Row],[S]]</f>
        <v>0.2</v>
      </c>
    </row>
    <row r="208" spans="1:21" x14ac:dyDescent="0.25">
      <c r="A208" s="12">
        <v>2014</v>
      </c>
      <c r="B208" s="11" t="s">
        <v>362</v>
      </c>
      <c r="C208" s="79">
        <v>6</v>
      </c>
      <c r="D208" s="78" t="s">
        <v>254</v>
      </c>
      <c r="E208" s="80">
        <v>16</v>
      </c>
      <c r="F208" s="80">
        <v>7</v>
      </c>
      <c r="G208" s="80">
        <v>4</v>
      </c>
      <c r="H208" s="80">
        <v>5</v>
      </c>
      <c r="I208" s="80">
        <v>60</v>
      </c>
      <c r="J208" s="80">
        <v>35</v>
      </c>
      <c r="K208" s="80">
        <v>25</v>
      </c>
      <c r="L208" s="82">
        <v>25</v>
      </c>
      <c r="M208" s="83"/>
      <c r="N208" s="79">
        <v>3.8</v>
      </c>
      <c r="O208" s="79">
        <v>2.2000000000000002</v>
      </c>
      <c r="P208" s="84">
        <v>1.6</v>
      </c>
      <c r="Q208" s="79">
        <v>1.6</v>
      </c>
      <c r="R208" s="85">
        <f>Tabell26[[#This Row],[ÅR]]</f>
        <v>2014</v>
      </c>
      <c r="S208" s="86">
        <f>Tabell26[[#This Row],[V]]/Tabell26[[#This Row],[S]]</f>
        <v>0.4375</v>
      </c>
      <c r="T208" s="86">
        <f>Tabell26[[#This Row],[O]]/Tabell26[[#This Row],[S]]</f>
        <v>0.25</v>
      </c>
      <c r="U208" s="86">
        <f>Tabell26[[#This Row],[F]]/Tabell26[[#This Row],[S]]</f>
        <v>0.3125</v>
      </c>
    </row>
    <row r="209" spans="1:21" x14ac:dyDescent="0.25">
      <c r="A209" s="12">
        <v>2015</v>
      </c>
      <c r="B209" s="11" t="s">
        <v>362</v>
      </c>
      <c r="C209" s="79">
        <v>3</v>
      </c>
      <c r="D209" s="78" t="s">
        <v>254</v>
      </c>
      <c r="E209" s="80">
        <v>20</v>
      </c>
      <c r="F209" s="80">
        <v>13</v>
      </c>
      <c r="G209" s="80">
        <v>3</v>
      </c>
      <c r="H209" s="80">
        <v>4</v>
      </c>
      <c r="I209" s="80">
        <v>114</v>
      </c>
      <c r="J209" s="80">
        <v>37</v>
      </c>
      <c r="K209" s="80">
        <v>77</v>
      </c>
      <c r="L209" s="82">
        <v>42</v>
      </c>
      <c r="M209" s="83"/>
      <c r="N209" s="79">
        <v>5.7</v>
      </c>
      <c r="O209" s="79">
        <v>1.9</v>
      </c>
      <c r="P209" s="84">
        <v>3.9</v>
      </c>
      <c r="Q209" s="79">
        <v>2.1</v>
      </c>
      <c r="R209" s="85">
        <f>Tabell26[[#This Row],[ÅR]]</f>
        <v>2015</v>
      </c>
      <c r="S209" s="86">
        <f>Tabell26[[#This Row],[V]]/Tabell26[[#This Row],[S]]</f>
        <v>0.65</v>
      </c>
      <c r="T209" s="86">
        <f>Tabell26[[#This Row],[O]]/Tabell26[[#This Row],[S]]</f>
        <v>0.15</v>
      </c>
      <c r="U209" s="86">
        <f>Tabell26[[#This Row],[F]]/Tabell26[[#This Row],[S]]</f>
        <v>0.2</v>
      </c>
    </row>
    <row r="210" spans="1:21" x14ac:dyDescent="0.25">
      <c r="A210" s="12">
        <v>2016</v>
      </c>
      <c r="B210" s="11" t="s">
        <v>362</v>
      </c>
      <c r="C210" s="79">
        <v>3</v>
      </c>
      <c r="D210" s="78" t="s">
        <v>254</v>
      </c>
      <c r="E210" s="87">
        <v>16</v>
      </c>
      <c r="F210" s="87">
        <v>11</v>
      </c>
      <c r="G210" s="87">
        <v>2</v>
      </c>
      <c r="H210" s="87">
        <v>3</v>
      </c>
      <c r="I210" s="87">
        <v>56</v>
      </c>
      <c r="J210" s="87">
        <v>31</v>
      </c>
      <c r="K210" s="87">
        <v>25</v>
      </c>
      <c r="L210" s="87">
        <v>35</v>
      </c>
      <c r="M210" s="88"/>
      <c r="N210" s="79">
        <v>3.5</v>
      </c>
      <c r="O210" s="79">
        <v>1.9</v>
      </c>
      <c r="P210" s="84">
        <v>1.6</v>
      </c>
      <c r="Q210" s="79">
        <v>2.2000000000000002</v>
      </c>
      <c r="R210" s="85">
        <f>Tabell26[[#This Row],[ÅR]]</f>
        <v>2016</v>
      </c>
      <c r="S210" s="86">
        <f>Tabell26[[#This Row],[V]]/Tabell26[[#This Row],[S]]</f>
        <v>0.6875</v>
      </c>
      <c r="T210" s="86">
        <f>Tabell26[[#This Row],[O]]/Tabell26[[#This Row],[S]]</f>
        <v>0.125</v>
      </c>
      <c r="U210" s="86">
        <f>Tabell26[[#This Row],[F]]/Tabell26[[#This Row],[S]]</f>
        <v>0.1875</v>
      </c>
    </row>
    <row r="211" spans="1:21" x14ac:dyDescent="0.25">
      <c r="A211" s="12">
        <v>2017</v>
      </c>
      <c r="B211" s="11" t="s">
        <v>367</v>
      </c>
      <c r="C211" s="79">
        <v>1</v>
      </c>
      <c r="D211" s="78" t="s">
        <v>254</v>
      </c>
      <c r="E211" s="87">
        <v>18</v>
      </c>
      <c r="F211" s="87">
        <v>15</v>
      </c>
      <c r="G211" s="87">
        <v>0</v>
      </c>
      <c r="H211" s="87">
        <v>3</v>
      </c>
      <c r="I211" s="87">
        <v>69</v>
      </c>
      <c r="J211" s="87">
        <v>24</v>
      </c>
      <c r="K211" s="87">
        <v>45</v>
      </c>
      <c r="L211" s="87">
        <v>45</v>
      </c>
      <c r="M211" s="88"/>
      <c r="N211" s="79">
        <v>3.8</v>
      </c>
      <c r="O211" s="79">
        <v>1.3</v>
      </c>
      <c r="P211" s="84">
        <v>2.5</v>
      </c>
      <c r="Q211" s="79">
        <v>2.5</v>
      </c>
      <c r="R211" s="85">
        <f>Tabell26[[#This Row],[ÅR]]</f>
        <v>2017</v>
      </c>
      <c r="S211" s="86">
        <f>Tabell26[[#This Row],[V]]/Tabell26[[#This Row],[S]]</f>
        <v>0.83333333333333337</v>
      </c>
      <c r="T211" s="86">
        <f>Tabell26[[#This Row],[O]]/Tabell26[[#This Row],[S]]</f>
        <v>0</v>
      </c>
      <c r="U211" s="86">
        <f>Tabell26[[#This Row],[F]]/Tabell26[[#This Row],[S]]</f>
        <v>0.16666666666666666</v>
      </c>
    </row>
    <row r="212" spans="1:21" x14ac:dyDescent="0.25">
      <c r="A212" s="12">
        <v>2018</v>
      </c>
      <c r="B212" s="11" t="s">
        <v>370</v>
      </c>
      <c r="C212" s="79">
        <v>4</v>
      </c>
      <c r="D212" s="78" t="s">
        <v>254</v>
      </c>
      <c r="E212" s="79">
        <v>18</v>
      </c>
      <c r="F212" s="79">
        <v>10</v>
      </c>
      <c r="G212" s="79">
        <v>2</v>
      </c>
      <c r="H212" s="79">
        <v>6</v>
      </c>
      <c r="I212" s="79">
        <v>58</v>
      </c>
      <c r="J212" s="79">
        <v>34</v>
      </c>
      <c r="K212" s="79">
        <v>24</v>
      </c>
      <c r="L212" s="79">
        <v>32</v>
      </c>
      <c r="M212" s="89"/>
      <c r="N212" s="79">
        <v>3.2</v>
      </c>
      <c r="O212" s="79">
        <v>1.9</v>
      </c>
      <c r="P212" s="84">
        <v>1.3</v>
      </c>
      <c r="Q212" s="79">
        <v>1.8</v>
      </c>
      <c r="R212" s="85">
        <f>Tabell26[[#This Row],[ÅR]]</f>
        <v>2018</v>
      </c>
      <c r="S212" s="86">
        <f>Tabell26[[#This Row],[V]]/Tabell26[[#This Row],[S]]</f>
        <v>0.55555555555555558</v>
      </c>
      <c r="T212" s="86">
        <f>Tabell26[[#This Row],[O]]/Tabell26[[#This Row],[S]]</f>
        <v>0.1111111111111111</v>
      </c>
      <c r="U212" s="86">
        <f>Tabell26[[#This Row],[F]]/Tabell26[[#This Row],[S]]</f>
        <v>0.33333333333333331</v>
      </c>
    </row>
    <row r="213" spans="1:21" x14ac:dyDescent="0.25">
      <c r="A213" s="12">
        <v>2019</v>
      </c>
      <c r="B213" s="11" t="s">
        <v>370</v>
      </c>
      <c r="C213" s="79">
        <v>1</v>
      </c>
      <c r="D213" s="78" t="s">
        <v>254</v>
      </c>
      <c r="E213" s="79">
        <v>22</v>
      </c>
      <c r="F213" s="79">
        <v>20</v>
      </c>
      <c r="G213" s="79">
        <v>1</v>
      </c>
      <c r="H213" s="79">
        <v>1</v>
      </c>
      <c r="I213" s="79">
        <v>104</v>
      </c>
      <c r="J213" s="79">
        <v>33</v>
      </c>
      <c r="K213" s="79">
        <v>71</v>
      </c>
      <c r="L213" s="79">
        <v>61</v>
      </c>
      <c r="M213" s="88"/>
      <c r="N213" s="82">
        <v>4.7</v>
      </c>
      <c r="O213" s="82">
        <v>1.5</v>
      </c>
      <c r="P213" s="90">
        <v>3.2</v>
      </c>
      <c r="Q213" s="82">
        <v>2.8</v>
      </c>
      <c r="R213" s="85">
        <f>Tabell26[[#This Row],[ÅR]]</f>
        <v>2019</v>
      </c>
      <c r="S213" s="86">
        <f>Tabell26[[#This Row],[V]]/Tabell26[[#This Row],[S]]</f>
        <v>0.90909090909090906</v>
      </c>
      <c r="T213" s="86">
        <f>Tabell26[[#This Row],[O]]/Tabell26[[#This Row],[S]]</f>
        <v>4.5454545454545456E-2</v>
      </c>
      <c r="U213" s="86">
        <f>Tabell26[[#This Row],[F]]/Tabell26[[#This Row],[S]]</f>
        <v>4.5454545454545456E-2</v>
      </c>
    </row>
    <row r="214" spans="1:21" x14ac:dyDescent="0.25">
      <c r="A214" s="12">
        <v>2020</v>
      </c>
      <c r="B214" s="11" t="s">
        <v>371</v>
      </c>
      <c r="C214" s="87">
        <v>10</v>
      </c>
      <c r="D214" s="78" t="s">
        <v>254</v>
      </c>
      <c r="E214" s="87">
        <v>10</v>
      </c>
      <c r="F214" s="87">
        <v>0</v>
      </c>
      <c r="G214" s="87">
        <v>2</v>
      </c>
      <c r="H214" s="87">
        <v>8</v>
      </c>
      <c r="I214" s="87">
        <v>10</v>
      </c>
      <c r="J214" s="87">
        <v>54</v>
      </c>
      <c r="K214" s="91">
        <v>-44</v>
      </c>
      <c r="L214" s="87">
        <v>2</v>
      </c>
      <c r="M214" s="88"/>
      <c r="N214" s="82">
        <v>1</v>
      </c>
      <c r="O214" s="82">
        <v>5.4</v>
      </c>
      <c r="P214" s="90">
        <v>-4.4000000000000004</v>
      </c>
      <c r="Q214" s="82">
        <v>0.2</v>
      </c>
      <c r="R214" s="85">
        <f>Tabell26[[#This Row],[ÅR]]</f>
        <v>2020</v>
      </c>
      <c r="S214" s="86">
        <f>Tabell26[[#This Row],[V]]/Tabell26[[#This Row],[S]]</f>
        <v>0</v>
      </c>
      <c r="T214" s="86">
        <f>Tabell26[[#This Row],[O]]/Tabell26[[#This Row],[S]]</f>
        <v>0.2</v>
      </c>
      <c r="U214" s="86">
        <f>Tabell26[[#This Row],[F]]/Tabell26[[#This Row],[S]]</f>
        <v>0.8</v>
      </c>
    </row>
    <row r="215" spans="1:21" x14ac:dyDescent="0.25">
      <c r="A215" s="12">
        <v>2021</v>
      </c>
      <c r="B215" s="11" t="s">
        <v>372</v>
      </c>
      <c r="C215" s="87">
        <v>5</v>
      </c>
      <c r="D215" s="78" t="s">
        <v>254</v>
      </c>
      <c r="E215" s="87">
        <v>11</v>
      </c>
      <c r="F215" s="87">
        <v>5</v>
      </c>
      <c r="G215" s="87">
        <v>2</v>
      </c>
      <c r="H215" s="87">
        <v>4</v>
      </c>
      <c r="I215" s="87">
        <v>28</v>
      </c>
      <c r="J215" s="87">
        <v>21</v>
      </c>
      <c r="K215" s="87">
        <v>7</v>
      </c>
      <c r="L215" s="87">
        <v>17</v>
      </c>
      <c r="M215" s="88"/>
      <c r="N215" s="82">
        <v>2.5</v>
      </c>
      <c r="O215" s="82">
        <v>1.9</v>
      </c>
      <c r="P215" s="90">
        <v>0.6</v>
      </c>
      <c r="Q215" s="82">
        <v>1.5</v>
      </c>
      <c r="R215" s="85">
        <f>Tabell26[[#This Row],[ÅR]]</f>
        <v>2021</v>
      </c>
      <c r="S215" s="86">
        <f>Tabell26[[#This Row],[V]]/Tabell26[[#This Row],[S]]</f>
        <v>0.45454545454545453</v>
      </c>
      <c r="T215" s="86">
        <f>Tabell26[[#This Row],[O]]/Tabell26[[#This Row],[S]]</f>
        <v>0.18181818181818182</v>
      </c>
      <c r="U215" s="86">
        <f>Tabell26[[#This Row],[F]]/Tabell26[[#This Row],[S]]</f>
        <v>0.36363636363636365</v>
      </c>
    </row>
    <row r="216" spans="1:21" x14ac:dyDescent="0.25">
      <c r="A216" s="12">
        <v>2022</v>
      </c>
      <c r="B216" s="11" t="s">
        <v>373</v>
      </c>
      <c r="C216" s="87">
        <v>1</v>
      </c>
      <c r="D216" s="78" t="s">
        <v>254</v>
      </c>
      <c r="E216" s="87">
        <v>22</v>
      </c>
      <c r="F216" s="87">
        <v>19</v>
      </c>
      <c r="G216" s="87">
        <v>2</v>
      </c>
      <c r="H216" s="87">
        <v>1</v>
      </c>
      <c r="I216" s="87">
        <v>98</v>
      </c>
      <c r="J216" s="87">
        <v>27</v>
      </c>
      <c r="K216" s="87">
        <v>71</v>
      </c>
      <c r="L216" s="87">
        <v>59</v>
      </c>
      <c r="M216" s="88"/>
      <c r="N216" s="82">
        <v>4.5</v>
      </c>
      <c r="O216" s="82">
        <v>1.2</v>
      </c>
      <c r="P216" s="90">
        <v>3.2</v>
      </c>
      <c r="Q216" s="82">
        <v>2.7</v>
      </c>
      <c r="R216" s="85">
        <f>Tabell26[[#This Row],[ÅR]]</f>
        <v>2022</v>
      </c>
      <c r="S216" s="86">
        <f>Tabell26[[#This Row],[V]]/Tabell26[[#This Row],[S]]</f>
        <v>0.86363636363636365</v>
      </c>
      <c r="T216" s="86">
        <f>Tabell26[[#This Row],[O]]/Tabell26[[#This Row],[S]]</f>
        <v>9.0909090909090912E-2</v>
      </c>
      <c r="U216" s="86">
        <f>Tabell26[[#This Row],[F]]/Tabell26[[#This Row],[S]]</f>
        <v>4.5454545454545456E-2</v>
      </c>
    </row>
    <row r="217" spans="1:21" x14ac:dyDescent="0.25">
      <c r="A217" s="12">
        <v>2023</v>
      </c>
      <c r="B217" s="11" t="s">
        <v>370</v>
      </c>
      <c r="C217" s="92">
        <v>7</v>
      </c>
      <c r="D217" s="93" t="s">
        <v>254</v>
      </c>
      <c r="E217" s="92">
        <v>22</v>
      </c>
      <c r="F217" s="92">
        <v>10</v>
      </c>
      <c r="G217" s="92">
        <v>3</v>
      </c>
      <c r="H217" s="92">
        <v>9</v>
      </c>
      <c r="I217" s="92">
        <v>51</v>
      </c>
      <c r="J217" s="92">
        <v>39</v>
      </c>
      <c r="K217" s="92">
        <v>12</v>
      </c>
      <c r="L217" s="92">
        <v>33</v>
      </c>
      <c r="M217" s="94"/>
      <c r="N217" s="95">
        <f t="shared" ref="N217" si="15">I217/E217</f>
        <v>2.3181818181818183</v>
      </c>
      <c r="O217" s="95">
        <f t="shared" ref="O217" si="16">J217/E217</f>
        <v>1.7727272727272727</v>
      </c>
      <c r="P217" s="96">
        <f t="shared" ref="P217" si="17">N217-O217</f>
        <v>0.54545454545454564</v>
      </c>
      <c r="Q217" s="95">
        <f t="shared" ref="Q217" si="18">L217/E217</f>
        <v>1.5</v>
      </c>
      <c r="R217" s="85">
        <f>Tabell26[[#This Row],[ÅR]]</f>
        <v>2023</v>
      </c>
      <c r="S217" s="86">
        <f>Tabell26[[#This Row],[V]]/Tabell26[[#This Row],[S]]</f>
        <v>0.45454545454545453</v>
      </c>
      <c r="T217" s="86">
        <f>Tabell26[[#This Row],[O]]/Tabell26[[#This Row],[S]]</f>
        <v>0.13636363636363635</v>
      </c>
      <c r="U217" s="86">
        <f>Tabell26[[#This Row],[F]]/Tabell26[[#This Row],[S]]</f>
        <v>0.40909090909090912</v>
      </c>
    </row>
    <row r="218" spans="1:21" x14ac:dyDescent="0.25">
      <c r="A218" s="12">
        <v>2024</v>
      </c>
      <c r="B218" s="11" t="s">
        <v>370</v>
      </c>
      <c r="C218" s="12">
        <v>2</v>
      </c>
      <c r="D218" s="93" t="s">
        <v>254</v>
      </c>
      <c r="E218" s="12">
        <f>F218+G218+H218</f>
        <v>20</v>
      </c>
      <c r="F218" s="12">
        <v>15</v>
      </c>
      <c r="G218" s="12">
        <v>0</v>
      </c>
      <c r="H218" s="12">
        <v>5</v>
      </c>
      <c r="I218" s="12">
        <v>69</v>
      </c>
      <c r="J218" s="12">
        <v>28</v>
      </c>
      <c r="K218" s="12">
        <f>I218-J218</f>
        <v>41</v>
      </c>
      <c r="L218" s="12">
        <f>(F218*3)+G218</f>
        <v>45</v>
      </c>
      <c r="M218" s="94"/>
      <c r="N218" s="95">
        <f t="shared" ref="N218" si="19">I218/E218</f>
        <v>3.45</v>
      </c>
      <c r="O218" s="95">
        <f t="shared" ref="O218" si="20">J218/E218</f>
        <v>1.4</v>
      </c>
      <c r="P218" s="96">
        <f t="shared" ref="P218" si="21">N218-O218</f>
        <v>2.0500000000000003</v>
      </c>
      <c r="Q218" s="95">
        <f t="shared" ref="Q218" si="22">L218/E218</f>
        <v>2.25</v>
      </c>
      <c r="R218" s="85">
        <f>Tabell26[[#This Row],[ÅR]]</f>
        <v>2024</v>
      </c>
      <c r="S218" s="86">
        <f>Tabell26[[#This Row],[V]]/Tabell26[[#This Row],[S]]</f>
        <v>0.75</v>
      </c>
      <c r="T218" s="86">
        <f>Tabell26[[#This Row],[O]]/Tabell26[[#This Row],[S]]</f>
        <v>0</v>
      </c>
      <c r="U218" s="86">
        <f>Tabell26[[#This Row],[F]]/Tabell26[[#This Row],[S]]</f>
        <v>0.25</v>
      </c>
    </row>
    <row r="219" spans="1:21" x14ac:dyDescent="0.25">
      <c r="A219" s="12">
        <v>2026</v>
      </c>
      <c r="B219" s="11" t="str">
        <f>B190</f>
        <v>DIV 4 NORDÖSTRA SKÅNE</v>
      </c>
      <c r="C219" s="87" cm="1">
        <f t="array" ref="C219">_xlfn.XLOOKUP(Tabell26[[#This Row],[LAG]],[1]!Tabell16[Team],[1]TABELL!$A$2:$A$11)</f>
        <v>2</v>
      </c>
      <c r="D219" s="93" t="s">
        <v>254</v>
      </c>
      <c r="E219" s="87">
        <f>Tabell26[[#This Row],[V]]+Tabell26[[#This Row],[F]]+Tabell26[[#This Row],[O]]</f>
        <v>3</v>
      </c>
      <c r="F219" s="87">
        <f>_xlfn.XLOOKUP(Tabell26[[#This Row],[LAG]],D189:D199,F189:F199)</f>
        <v>2</v>
      </c>
      <c r="G219" s="87">
        <f>_xlfn.XLOOKUP(Tabell26[[#This Row],[LAG]],D189:D199,G189:G199)</f>
        <v>1</v>
      </c>
      <c r="H219" s="87">
        <f>_xlfn.XLOOKUP(Tabell26[[#This Row],[LAG]],D189:D199,H189:H199)</f>
        <v>0</v>
      </c>
      <c r="I219" s="87">
        <f>_xlfn.XLOOKUP(Tabell26[[#This Row],[LAG]],D189:D199,I189:I199)</f>
        <v>26</v>
      </c>
      <c r="J219" s="87">
        <f>_xlfn.XLOOKUP(Tabell26[[#This Row],[LAG]],D189:D199,J189:J199)</f>
        <v>2</v>
      </c>
      <c r="K219" s="12">
        <f>Tabell26[[#This Row],[GM]]-Tabell26[[#This Row],[IM]]</f>
        <v>24</v>
      </c>
      <c r="L219" s="87">
        <f>(Tabell26[[#This Row],[V]]*3)+Tabell26[[#This Row],[O]]</f>
        <v>7</v>
      </c>
      <c r="M219" s="88"/>
      <c r="N219" s="95">
        <f t="shared" ref="N219" si="23">I219/E219</f>
        <v>8.6666666666666661</v>
      </c>
      <c r="O219" s="95">
        <f t="shared" ref="O219" si="24">J219/E219</f>
        <v>0.66666666666666663</v>
      </c>
      <c r="P219" s="96">
        <f t="shared" ref="P219" si="25">N219-O219</f>
        <v>7.9999999999999991</v>
      </c>
      <c r="Q219" s="95">
        <f t="shared" ref="Q219" si="26">L219/E219</f>
        <v>2.3333333333333335</v>
      </c>
      <c r="R219" s="85">
        <f>Tabell26[[#This Row],[ÅR]]</f>
        <v>2026</v>
      </c>
      <c r="S219" s="86">
        <f>Tabell26[[#This Row],[V]]/Tabell26[[#This Row],[S]]</f>
        <v>0.66666666666666663</v>
      </c>
      <c r="T219" s="86">
        <f>Tabell26[[#This Row],[O]]/Tabell26[[#This Row],[S]]</f>
        <v>0.33333333333333331</v>
      </c>
      <c r="U219" s="86">
        <f>Tabell26[[#This Row],[F]]/Tabell26[[#This Row],[S]]</f>
        <v>0</v>
      </c>
    </row>
  </sheetData>
  <mergeCells count="32">
    <mergeCell ref="A122:A132"/>
    <mergeCell ref="B122:B132"/>
    <mergeCell ref="A135:A146"/>
    <mergeCell ref="B135:B146"/>
    <mergeCell ref="A177:A187"/>
    <mergeCell ref="B177:B187"/>
    <mergeCell ref="A149:A160"/>
    <mergeCell ref="B149:B160"/>
    <mergeCell ref="A163:A174"/>
    <mergeCell ref="B163:B174"/>
    <mergeCell ref="A85:A93"/>
    <mergeCell ref="B85:B93"/>
    <mergeCell ref="A96:A105"/>
    <mergeCell ref="B96:B105"/>
    <mergeCell ref="A108:A119"/>
    <mergeCell ref="B108:B119"/>
    <mergeCell ref="A190:A199"/>
    <mergeCell ref="B190:B199"/>
    <mergeCell ref="A2:A13"/>
    <mergeCell ref="B2:B13"/>
    <mergeCell ref="A16:A27"/>
    <mergeCell ref="B16:B27"/>
    <mergeCell ref="A30:A39"/>
    <mergeCell ref="B30:B39"/>
    <mergeCell ref="A42:A47"/>
    <mergeCell ref="B42:B47"/>
    <mergeCell ref="A50:A58"/>
    <mergeCell ref="B50:B58"/>
    <mergeCell ref="A61:A71"/>
    <mergeCell ref="B61:B71"/>
    <mergeCell ref="A74:A82"/>
    <mergeCell ref="B74:B82"/>
  </mergeCells>
  <conditionalFormatting sqref="C204:C21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204:N21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04:O219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204:P21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04:Q21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04:S219">
    <cfRule type="colorScale" priority="4">
      <colorScale>
        <cfvo type="min"/>
        <cfvo type="max"/>
        <color rgb="FFFCFCFF"/>
        <color rgb="FF63BE7B"/>
      </colorScale>
    </cfRule>
  </conditionalFormatting>
  <conditionalFormatting sqref="S204:U219">
    <cfRule type="colorScale" priority="9">
      <colorScale>
        <cfvo type="min"/>
        <cfvo type="max"/>
        <color rgb="FFFCFCFF"/>
        <color rgb="FF63BE7B"/>
      </colorScale>
    </cfRule>
  </conditionalFormatting>
  <conditionalFormatting sqref="T204:T219">
    <cfRule type="colorScale" priority="3">
      <colorScale>
        <cfvo type="min"/>
        <cfvo type="max"/>
        <color rgb="FFFCFCFF"/>
        <color rgb="FF63BE7B"/>
      </colorScale>
    </cfRule>
  </conditionalFormatting>
  <conditionalFormatting sqref="U204:U219">
    <cfRule type="colorScale" priority="2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4D2C-C3C1-455E-806C-EE0B3F8ECFDA}">
  <dimension ref="A12:U53"/>
  <sheetViews>
    <sheetView workbookViewId="0">
      <selection activeCell="V16" sqref="V16"/>
    </sheetView>
  </sheetViews>
  <sheetFormatPr defaultRowHeight="10.199999999999999" x14ac:dyDescent="0.2"/>
  <cols>
    <col min="1" max="1" width="9.140625" style="1"/>
    <col min="2" max="2" width="19.42578125" bestFit="1" customWidth="1"/>
    <col min="3" max="13" width="6.7109375" style="1" customWidth="1"/>
    <col min="15" max="15" width="19.28515625" bestFit="1" customWidth="1"/>
    <col min="16" max="18" width="8.7109375" style="1" customWidth="1"/>
    <col min="20" max="21" width="9.140625" style="1"/>
  </cols>
  <sheetData>
    <row r="12" spans="1:21" s="6" customFormat="1" ht="20.399999999999999" x14ac:dyDescent="0.2">
      <c r="A12" s="109" t="s">
        <v>0</v>
      </c>
      <c r="B12" s="110" t="s">
        <v>5</v>
      </c>
      <c r="C12" s="109" t="s">
        <v>6</v>
      </c>
      <c r="D12" s="109" t="s">
        <v>7</v>
      </c>
      <c r="E12" s="109" t="s">
        <v>8</v>
      </c>
      <c r="F12" s="109" t="s">
        <v>9</v>
      </c>
      <c r="G12" s="109" t="s">
        <v>10</v>
      </c>
      <c r="H12" s="109" t="s">
        <v>11</v>
      </c>
      <c r="I12" s="109" t="s">
        <v>12</v>
      </c>
      <c r="J12" s="109" t="s">
        <v>13</v>
      </c>
      <c r="K12" s="109" t="s">
        <v>14</v>
      </c>
      <c r="L12" s="109" t="s">
        <v>15</v>
      </c>
      <c r="M12" s="109" t="s">
        <v>16</v>
      </c>
      <c r="O12" s="6" t="s">
        <v>5</v>
      </c>
      <c r="P12" s="109" t="s">
        <v>18</v>
      </c>
      <c r="Q12" s="109" t="s">
        <v>390</v>
      </c>
      <c r="R12" s="109" t="s">
        <v>391</v>
      </c>
      <c r="T12" s="109" t="s">
        <v>0</v>
      </c>
      <c r="U12" s="109" t="s">
        <v>378</v>
      </c>
    </row>
    <row r="13" spans="1:21" x14ac:dyDescent="0.2">
      <c r="A13" s="1">
        <v>2025</v>
      </c>
      <c r="B13" t="s">
        <v>40</v>
      </c>
      <c r="C13" s="1">
        <v>4</v>
      </c>
      <c r="D13" s="1">
        <v>1</v>
      </c>
      <c r="E13" s="1">
        <v>0</v>
      </c>
      <c r="F13" s="1">
        <v>0</v>
      </c>
      <c r="G13" s="1">
        <v>1</v>
      </c>
      <c r="H13" s="1">
        <v>4</v>
      </c>
      <c r="I13" s="2">
        <v>0.25</v>
      </c>
      <c r="J13" s="1">
        <v>2025</v>
      </c>
      <c r="K13" s="1">
        <v>2007</v>
      </c>
      <c r="L13" s="1">
        <v>18</v>
      </c>
      <c r="M13" s="1">
        <v>2</v>
      </c>
      <c r="O13" t="s">
        <v>56</v>
      </c>
      <c r="P13" s="1">
        <f>_xlfn.XLOOKUP(Tabell3[[#This Row],[Namn]],Tabell4[Namn],Tabell4[SÄS])</f>
        <v>8</v>
      </c>
      <c r="Q13" s="1">
        <f>COUNTIF(Tabell27[Namn],Tabell3[[#This Row],[Namn]])</f>
        <v>4</v>
      </c>
      <c r="R13" s="5">
        <f>Tabell3[[#This Row],[100% SÄS]]/Tabell3[[#This Row],[SÄSONGER]]</f>
        <v>0.5</v>
      </c>
      <c r="T13" s="1">
        <v>2011</v>
      </c>
      <c r="U13" s="1">
        <f>COUNTIF(Tabell27[ÅR],Tabell12[[#This Row],[ÅR]])</f>
        <v>3</v>
      </c>
    </row>
    <row r="14" spans="1:21" x14ac:dyDescent="0.2">
      <c r="A14" s="1">
        <v>2025</v>
      </c>
      <c r="B14" t="s">
        <v>24</v>
      </c>
      <c r="C14" s="1">
        <v>4</v>
      </c>
      <c r="D14" s="1">
        <v>1</v>
      </c>
      <c r="E14" s="1">
        <v>0</v>
      </c>
      <c r="F14" s="1">
        <v>0</v>
      </c>
      <c r="G14" s="1">
        <v>0</v>
      </c>
      <c r="H14" s="1">
        <v>4</v>
      </c>
      <c r="I14" s="2">
        <v>0</v>
      </c>
      <c r="J14" s="1">
        <v>2025</v>
      </c>
      <c r="K14" s="1">
        <v>2009</v>
      </c>
      <c r="L14" s="1">
        <v>16</v>
      </c>
      <c r="M14" s="1">
        <v>2</v>
      </c>
      <c r="O14" t="s">
        <v>74</v>
      </c>
      <c r="P14" s="1">
        <f>_xlfn.XLOOKUP(Tabell3[[#This Row],[Namn]],Tabell4[Namn],Tabell4[SÄS])</f>
        <v>12</v>
      </c>
      <c r="Q14" s="1">
        <f>COUNTIF(Tabell27[Namn],Tabell3[[#This Row],[Namn]])</f>
        <v>4</v>
      </c>
      <c r="R14" s="5">
        <f>Tabell3[[#This Row],[100% SÄS]]/Tabell3[[#This Row],[SÄSONGER]]</f>
        <v>0.33333333333333331</v>
      </c>
      <c r="T14" s="1">
        <v>2012</v>
      </c>
      <c r="U14" s="1">
        <f>COUNTIF(Tabell27[ÅR],Tabell12[[#This Row],[ÅR]])</f>
        <v>4</v>
      </c>
    </row>
    <row r="15" spans="1:21" x14ac:dyDescent="0.2">
      <c r="A15" s="1">
        <v>2025</v>
      </c>
      <c r="B15" t="s">
        <v>44</v>
      </c>
      <c r="C15" s="1">
        <v>4</v>
      </c>
      <c r="D15" s="1">
        <v>1</v>
      </c>
      <c r="E15" s="1">
        <v>0</v>
      </c>
      <c r="F15" s="1">
        <v>0</v>
      </c>
      <c r="G15" s="1">
        <v>0</v>
      </c>
      <c r="H15" s="1">
        <v>4</v>
      </c>
      <c r="I15" s="2">
        <v>0</v>
      </c>
      <c r="J15" s="1">
        <v>2025</v>
      </c>
      <c r="K15" s="1">
        <v>2006</v>
      </c>
      <c r="L15" s="1">
        <v>19</v>
      </c>
      <c r="M15" s="1">
        <v>2</v>
      </c>
      <c r="O15" t="s">
        <v>34</v>
      </c>
      <c r="P15" s="1">
        <f>_xlfn.XLOOKUP(Tabell3[[#This Row],[Namn]],Tabell4[Namn],Tabell4[SÄS])</f>
        <v>9</v>
      </c>
      <c r="Q15" s="1">
        <f>COUNTIF(Tabell27[Namn],Tabell3[[#This Row],[Namn]])</f>
        <v>3</v>
      </c>
      <c r="R15" s="5">
        <f>Tabell3[[#This Row],[100% SÄS]]/Tabell3[[#This Row],[SÄSONGER]]</f>
        <v>0.33333333333333331</v>
      </c>
      <c r="T15" s="1">
        <v>2013</v>
      </c>
      <c r="U15" s="1">
        <f>COUNTIF(Tabell27[ÅR],Tabell12[[#This Row],[ÅR]])</f>
        <v>5</v>
      </c>
    </row>
    <row r="16" spans="1:21" x14ac:dyDescent="0.2">
      <c r="A16" s="1">
        <v>2024</v>
      </c>
      <c r="B16" t="s">
        <v>29</v>
      </c>
      <c r="C16" s="1">
        <v>29</v>
      </c>
      <c r="D16" s="1">
        <v>1</v>
      </c>
      <c r="E16" s="1">
        <v>1</v>
      </c>
      <c r="F16" s="1">
        <v>0</v>
      </c>
      <c r="G16" s="1">
        <v>9</v>
      </c>
      <c r="H16" s="1">
        <v>29</v>
      </c>
      <c r="I16" s="2">
        <v>0.31034482758620691</v>
      </c>
      <c r="J16" s="1">
        <v>2024</v>
      </c>
      <c r="K16" s="1">
        <v>2007</v>
      </c>
      <c r="L16" s="1">
        <v>17</v>
      </c>
      <c r="M16" s="1">
        <v>2</v>
      </c>
      <c r="O16" t="s">
        <v>133</v>
      </c>
      <c r="P16" s="1">
        <f>_xlfn.XLOOKUP(Tabell3[[#This Row],[Namn]],Tabell4[Namn],Tabell4[SÄS])</f>
        <v>5</v>
      </c>
      <c r="Q16" s="1">
        <f>COUNTIF(Tabell27[Namn],Tabell3[[#This Row],[Namn]])</f>
        <v>3</v>
      </c>
      <c r="R16" s="5">
        <f>Tabell3[[#This Row],[100% SÄS]]/Tabell3[[#This Row],[SÄSONGER]]</f>
        <v>0.6</v>
      </c>
      <c r="T16" s="1">
        <v>2014</v>
      </c>
      <c r="U16" s="1">
        <f>COUNTIF(Tabell27[ÅR],Tabell12[[#This Row],[ÅR]])</f>
        <v>1</v>
      </c>
    </row>
    <row r="17" spans="1:21" x14ac:dyDescent="0.2">
      <c r="A17" s="1">
        <v>2023</v>
      </c>
      <c r="B17" t="s">
        <v>34</v>
      </c>
      <c r="C17" s="1">
        <v>22</v>
      </c>
      <c r="D17" s="1">
        <v>1</v>
      </c>
      <c r="E17" s="1">
        <v>1</v>
      </c>
      <c r="F17" s="1">
        <v>0</v>
      </c>
      <c r="G17" s="1">
        <v>11</v>
      </c>
      <c r="H17" s="1">
        <v>22</v>
      </c>
      <c r="I17" s="2">
        <v>0.5</v>
      </c>
      <c r="J17" s="1">
        <v>2023</v>
      </c>
      <c r="K17" s="1">
        <v>1991</v>
      </c>
      <c r="L17" s="1">
        <v>32</v>
      </c>
      <c r="M17" s="1">
        <v>2</v>
      </c>
      <c r="O17" t="s">
        <v>70</v>
      </c>
      <c r="P17" s="1">
        <f>_xlfn.XLOOKUP(Tabell3[[#This Row],[Namn]],Tabell4[Namn],Tabell4[SÄS])</f>
        <v>4</v>
      </c>
      <c r="Q17" s="1">
        <f>COUNTIF(Tabell27[Namn],Tabell3[[#This Row],[Namn]])</f>
        <v>2</v>
      </c>
      <c r="R17" s="5">
        <f>Tabell3[[#This Row],[100% SÄS]]/Tabell3[[#This Row],[SÄSONGER]]</f>
        <v>0.5</v>
      </c>
      <c r="T17" s="1">
        <v>2015</v>
      </c>
      <c r="U17" s="1">
        <f>COUNTIF(Tabell27[ÅR],Tabell12[[#This Row],[ÅR]])</f>
        <v>0</v>
      </c>
    </row>
    <row r="18" spans="1:21" x14ac:dyDescent="0.2">
      <c r="A18" s="1">
        <v>2023</v>
      </c>
      <c r="B18" t="s">
        <v>56</v>
      </c>
      <c r="C18" s="1">
        <v>22</v>
      </c>
      <c r="D18" s="1">
        <v>1</v>
      </c>
      <c r="E18" s="1">
        <v>2</v>
      </c>
      <c r="F18" s="1">
        <v>0</v>
      </c>
      <c r="G18" s="1">
        <v>2</v>
      </c>
      <c r="H18" s="1">
        <v>22</v>
      </c>
      <c r="I18" s="2">
        <v>9.0909090909090912E-2</v>
      </c>
      <c r="J18" s="1">
        <v>2023</v>
      </c>
      <c r="K18" s="1">
        <v>2002</v>
      </c>
      <c r="L18" s="1">
        <v>21</v>
      </c>
      <c r="M18" s="1">
        <v>2</v>
      </c>
      <c r="O18" t="s">
        <v>82</v>
      </c>
      <c r="P18" s="1">
        <f>_xlfn.XLOOKUP(Tabell3[[#This Row],[Namn]],Tabell4[Namn],Tabell4[SÄS])</f>
        <v>5</v>
      </c>
      <c r="Q18" s="1">
        <f>COUNTIF(Tabell27[Namn],Tabell3[[#This Row],[Namn]])</f>
        <v>2</v>
      </c>
      <c r="R18" s="5">
        <f>Tabell3[[#This Row],[100% SÄS]]/Tabell3[[#This Row],[SÄSONGER]]</f>
        <v>0.4</v>
      </c>
      <c r="T18" s="1">
        <v>2016</v>
      </c>
      <c r="U18" s="1">
        <f>COUNTIF(Tabell27[ÅR],Tabell12[[#This Row],[ÅR]])</f>
        <v>1</v>
      </c>
    </row>
    <row r="19" spans="1:21" x14ac:dyDescent="0.2">
      <c r="A19" s="1">
        <v>2023</v>
      </c>
      <c r="B19" t="s">
        <v>69</v>
      </c>
      <c r="C19" s="1">
        <v>22</v>
      </c>
      <c r="D19" s="1">
        <v>1</v>
      </c>
      <c r="E19" s="1">
        <v>1</v>
      </c>
      <c r="F19" s="1">
        <v>0</v>
      </c>
      <c r="G19" s="1">
        <v>0</v>
      </c>
      <c r="H19" s="1">
        <v>22</v>
      </c>
      <c r="I19" s="2">
        <v>0</v>
      </c>
      <c r="J19" s="1">
        <v>2023</v>
      </c>
      <c r="K19" s="1">
        <v>1996</v>
      </c>
      <c r="L19" s="1">
        <v>27</v>
      </c>
      <c r="M19" s="1">
        <v>2</v>
      </c>
      <c r="O19" t="s">
        <v>99</v>
      </c>
      <c r="P19" s="1">
        <f>_xlfn.XLOOKUP(Tabell3[[#This Row],[Namn]],Tabell4[Namn],Tabell4[SÄS])</f>
        <v>2</v>
      </c>
      <c r="Q19" s="1">
        <f>COUNTIF(Tabell27[Namn],Tabell3[[#This Row],[Namn]])</f>
        <v>2</v>
      </c>
      <c r="R19" s="5">
        <f>Tabell3[[#This Row],[100% SÄS]]/Tabell3[[#This Row],[SÄSONGER]]</f>
        <v>1</v>
      </c>
      <c r="T19" s="1">
        <v>2017</v>
      </c>
      <c r="U19" s="1">
        <f>COUNTIF(Tabell27[ÅR],Tabell12[[#This Row],[ÅR]])</f>
        <v>2</v>
      </c>
    </row>
    <row r="20" spans="1:21" x14ac:dyDescent="0.2">
      <c r="A20" s="1">
        <v>2022</v>
      </c>
      <c r="B20" t="s">
        <v>56</v>
      </c>
      <c r="C20" s="1">
        <v>29</v>
      </c>
      <c r="D20" s="1">
        <v>1</v>
      </c>
      <c r="E20" s="1">
        <v>1</v>
      </c>
      <c r="F20" s="1">
        <v>0</v>
      </c>
      <c r="G20" s="1">
        <v>5</v>
      </c>
      <c r="H20" s="1">
        <v>29</v>
      </c>
      <c r="I20" s="2">
        <v>0.17241379310344829</v>
      </c>
      <c r="J20" s="1">
        <v>2022</v>
      </c>
      <c r="K20" s="1">
        <v>2002</v>
      </c>
      <c r="L20" s="1">
        <v>20</v>
      </c>
      <c r="M20" s="1">
        <v>2</v>
      </c>
      <c r="O20" t="s">
        <v>168</v>
      </c>
      <c r="P20" s="1">
        <f>_xlfn.XLOOKUP(Tabell3[[#This Row],[Namn]],Tabell4[Namn],Tabell4[SÄS])</f>
        <v>4</v>
      </c>
      <c r="Q20" s="1">
        <f>COUNTIF(Tabell27[Namn],Tabell3[[#This Row],[Namn]])</f>
        <v>2</v>
      </c>
      <c r="R20" s="5">
        <f>Tabell3[[#This Row],[100% SÄS]]/Tabell3[[#This Row],[SÄSONGER]]</f>
        <v>0.5</v>
      </c>
      <c r="T20" s="1">
        <v>2018</v>
      </c>
      <c r="U20" s="1">
        <f>COUNTIF(Tabell27[ÅR],Tabell12[[#This Row],[ÅR]])</f>
        <v>3</v>
      </c>
    </row>
    <row r="21" spans="1:21" x14ac:dyDescent="0.2">
      <c r="A21" s="1">
        <v>2022</v>
      </c>
      <c r="B21" t="s">
        <v>74</v>
      </c>
      <c r="C21" s="1">
        <v>29</v>
      </c>
      <c r="D21" s="1">
        <v>1</v>
      </c>
      <c r="E21" s="1">
        <v>0</v>
      </c>
      <c r="F21" s="1">
        <v>0</v>
      </c>
      <c r="G21" s="1">
        <v>1</v>
      </c>
      <c r="H21" s="1">
        <v>29</v>
      </c>
      <c r="I21" s="2">
        <v>3.4482758620689655E-2</v>
      </c>
      <c r="J21" s="1">
        <v>2022</v>
      </c>
      <c r="K21" s="1">
        <v>1996</v>
      </c>
      <c r="L21" s="1">
        <v>26</v>
      </c>
      <c r="M21" s="1">
        <v>2</v>
      </c>
      <c r="O21" t="s">
        <v>29</v>
      </c>
      <c r="P21" s="1">
        <f>_xlfn.XLOOKUP(Tabell3[[#This Row],[Namn]],Tabell4[Namn],Tabell4[SÄS])</f>
        <v>5</v>
      </c>
      <c r="Q21" s="1">
        <f>COUNTIF(Tabell27[Namn],Tabell3[[#This Row],[Namn]])</f>
        <v>1</v>
      </c>
      <c r="R21" s="5">
        <f>Tabell3[[#This Row],[100% SÄS]]/Tabell3[[#This Row],[SÄSONGER]]</f>
        <v>0.2</v>
      </c>
      <c r="T21" s="1">
        <v>2019</v>
      </c>
      <c r="U21" s="1">
        <f>COUNTIF(Tabell27[ÅR],Tabell12[[#This Row],[ÅR]])</f>
        <v>3</v>
      </c>
    </row>
    <row r="22" spans="1:21" x14ac:dyDescent="0.2">
      <c r="A22" s="1">
        <v>2021</v>
      </c>
      <c r="B22" t="s">
        <v>70</v>
      </c>
      <c r="C22" s="1">
        <v>11</v>
      </c>
      <c r="D22" s="1">
        <v>1</v>
      </c>
      <c r="E22" s="1">
        <v>0</v>
      </c>
      <c r="F22" s="1">
        <v>0</v>
      </c>
      <c r="G22" s="1">
        <v>6</v>
      </c>
      <c r="H22" s="1">
        <v>11</v>
      </c>
      <c r="I22" s="2">
        <v>0.54545454545454541</v>
      </c>
      <c r="J22" s="1">
        <v>2021</v>
      </c>
      <c r="K22" s="1">
        <v>1997</v>
      </c>
      <c r="L22" s="1">
        <v>24</v>
      </c>
      <c r="M22" s="1">
        <v>2</v>
      </c>
      <c r="O22" t="s">
        <v>24</v>
      </c>
      <c r="P22" s="1">
        <f>_xlfn.XLOOKUP(Tabell3[[#This Row],[Namn]],Tabell4[Namn],Tabell4[SÄS])</f>
        <v>3</v>
      </c>
      <c r="Q22" s="1">
        <f>COUNTIF(Tabell27[Namn],Tabell3[[#This Row],[Namn]])</f>
        <v>1</v>
      </c>
      <c r="R22" s="5">
        <f>Tabell3[[#This Row],[100% SÄS]]/Tabell3[[#This Row],[SÄSONGER]]</f>
        <v>0.33333333333333331</v>
      </c>
      <c r="T22" s="1">
        <v>2020</v>
      </c>
      <c r="U22" s="1">
        <f>COUNTIF(Tabell27[ÅR],Tabell12[[#This Row],[ÅR]])</f>
        <v>4</v>
      </c>
    </row>
    <row r="23" spans="1:21" x14ac:dyDescent="0.2">
      <c r="A23" s="1">
        <v>2021</v>
      </c>
      <c r="B23" t="s">
        <v>80</v>
      </c>
      <c r="C23" s="1">
        <v>11</v>
      </c>
      <c r="D23" s="1">
        <v>1</v>
      </c>
      <c r="E23" s="1">
        <v>0</v>
      </c>
      <c r="F23" s="1">
        <v>0</v>
      </c>
      <c r="G23" s="1">
        <v>4</v>
      </c>
      <c r="H23" s="1">
        <v>11</v>
      </c>
      <c r="I23" s="2">
        <v>0.36363636363636365</v>
      </c>
      <c r="J23" s="1">
        <v>2021</v>
      </c>
      <c r="K23" s="1">
        <v>2004</v>
      </c>
      <c r="L23" s="1">
        <v>17</v>
      </c>
      <c r="M23" s="1">
        <v>2</v>
      </c>
      <c r="O23" t="s">
        <v>40</v>
      </c>
      <c r="P23" s="1">
        <f>_xlfn.XLOOKUP(Tabell3[[#This Row],[Namn]],Tabell4[Namn],Tabell4[SÄS])</f>
        <v>3</v>
      </c>
      <c r="Q23" s="1">
        <f>COUNTIF(Tabell27[Namn],Tabell3[[#This Row],[Namn]])</f>
        <v>1</v>
      </c>
      <c r="R23" s="5">
        <f>Tabell3[[#This Row],[100% SÄS]]/Tabell3[[#This Row],[SÄSONGER]]</f>
        <v>0.33333333333333331</v>
      </c>
      <c r="T23" s="1">
        <v>2021</v>
      </c>
      <c r="U23" s="1">
        <f>COUNTIF(Tabell27[ÅR],Tabell12[[#This Row],[ÅR]])</f>
        <v>6</v>
      </c>
    </row>
    <row r="24" spans="1:21" x14ac:dyDescent="0.2">
      <c r="A24" s="1">
        <v>2021</v>
      </c>
      <c r="B24" t="s">
        <v>34</v>
      </c>
      <c r="C24" s="1">
        <v>11</v>
      </c>
      <c r="D24" s="1">
        <v>1</v>
      </c>
      <c r="E24" s="1">
        <v>0</v>
      </c>
      <c r="F24" s="1">
        <v>0</v>
      </c>
      <c r="G24" s="1">
        <v>4</v>
      </c>
      <c r="H24" s="1">
        <v>11</v>
      </c>
      <c r="I24" s="2">
        <v>0.36363636363636365</v>
      </c>
      <c r="J24" s="1">
        <v>2021</v>
      </c>
      <c r="K24" s="1">
        <v>1991</v>
      </c>
      <c r="L24" s="1">
        <v>30</v>
      </c>
      <c r="M24" s="1">
        <v>2</v>
      </c>
      <c r="O24" t="s">
        <v>44</v>
      </c>
      <c r="P24" s="1">
        <f>_xlfn.XLOOKUP(Tabell3[[#This Row],[Namn]],Tabell4[Namn],Tabell4[SÄS])</f>
        <v>1</v>
      </c>
      <c r="Q24" s="1">
        <f>COUNTIF(Tabell27[Namn],Tabell3[[#This Row],[Namn]])</f>
        <v>1</v>
      </c>
      <c r="R24" s="5">
        <f>Tabell3[[#This Row],[100% SÄS]]/Tabell3[[#This Row],[SÄSONGER]]</f>
        <v>1</v>
      </c>
      <c r="T24" s="1">
        <v>2022</v>
      </c>
      <c r="U24" s="1">
        <f>COUNTIF(Tabell27[ÅR],Tabell12[[#This Row],[ÅR]])</f>
        <v>2</v>
      </c>
    </row>
    <row r="25" spans="1:21" x14ac:dyDescent="0.2">
      <c r="A25" s="1">
        <v>2021</v>
      </c>
      <c r="B25" t="s">
        <v>56</v>
      </c>
      <c r="C25" s="1">
        <v>11</v>
      </c>
      <c r="D25" s="1">
        <v>1</v>
      </c>
      <c r="E25" s="1">
        <v>0</v>
      </c>
      <c r="F25" s="1">
        <v>0</v>
      </c>
      <c r="G25" s="1">
        <v>3</v>
      </c>
      <c r="H25" s="1">
        <v>11</v>
      </c>
      <c r="I25" s="2">
        <v>0.27272727272727271</v>
      </c>
      <c r="J25" s="1">
        <v>2021</v>
      </c>
      <c r="K25" s="1">
        <v>2002</v>
      </c>
      <c r="L25" s="1">
        <v>19</v>
      </c>
      <c r="M25" s="1">
        <v>2</v>
      </c>
      <c r="O25" t="s">
        <v>69</v>
      </c>
      <c r="P25" s="1">
        <f>_xlfn.XLOOKUP(Tabell3[[#This Row],[Namn]],Tabell4[Namn],Tabell4[SÄS])</f>
        <v>6</v>
      </c>
      <c r="Q25" s="1">
        <f>COUNTIF(Tabell27[Namn],Tabell3[[#This Row],[Namn]])</f>
        <v>1</v>
      </c>
      <c r="R25" s="5">
        <f>Tabell3[[#This Row],[100% SÄS]]/Tabell3[[#This Row],[SÄSONGER]]</f>
        <v>0.16666666666666666</v>
      </c>
      <c r="T25" s="1">
        <v>2023</v>
      </c>
      <c r="U25" s="1">
        <f>COUNTIF(Tabell27[ÅR],Tabell12[[#This Row],[ÅR]])</f>
        <v>3</v>
      </c>
    </row>
    <row r="26" spans="1:21" x14ac:dyDescent="0.2">
      <c r="A26" s="1">
        <v>2021</v>
      </c>
      <c r="B26" t="s">
        <v>82</v>
      </c>
      <c r="C26" s="1">
        <v>11</v>
      </c>
      <c r="D26" s="1">
        <v>1</v>
      </c>
      <c r="E26" s="1">
        <v>1</v>
      </c>
      <c r="F26" s="1">
        <v>0</v>
      </c>
      <c r="G26" s="1">
        <v>1</v>
      </c>
      <c r="H26" s="1">
        <v>11</v>
      </c>
      <c r="I26" s="2">
        <v>9.0909090909090912E-2</v>
      </c>
      <c r="J26" s="1">
        <v>2021</v>
      </c>
      <c r="K26" s="1">
        <v>1995</v>
      </c>
      <c r="L26" s="1">
        <v>26</v>
      </c>
      <c r="M26" s="1">
        <v>2</v>
      </c>
      <c r="O26" t="s">
        <v>80</v>
      </c>
      <c r="P26" s="1">
        <f>_xlfn.XLOOKUP(Tabell3[[#This Row],[Namn]],Tabell4[Namn],Tabell4[SÄS])</f>
        <v>5</v>
      </c>
      <c r="Q26" s="1">
        <f>COUNTIF(Tabell27[Namn],Tabell3[[#This Row],[Namn]])</f>
        <v>1</v>
      </c>
      <c r="R26" s="5">
        <f>Tabell3[[#This Row],[100% SÄS]]/Tabell3[[#This Row],[SÄSONGER]]</f>
        <v>0.2</v>
      </c>
      <c r="T26" s="1">
        <v>2024</v>
      </c>
      <c r="U26" s="1">
        <f>COUNTIF(Tabell27[ÅR],Tabell12[[#This Row],[ÅR]])</f>
        <v>1</v>
      </c>
    </row>
    <row r="27" spans="1:21" x14ac:dyDescent="0.2">
      <c r="A27" s="1">
        <v>2021</v>
      </c>
      <c r="B27" t="s">
        <v>74</v>
      </c>
      <c r="C27" s="1">
        <v>11</v>
      </c>
      <c r="D27" s="1">
        <v>1</v>
      </c>
      <c r="E27" s="1">
        <v>1</v>
      </c>
      <c r="F27" s="1">
        <v>0</v>
      </c>
      <c r="G27" s="1">
        <v>0</v>
      </c>
      <c r="H27" s="1">
        <v>11</v>
      </c>
      <c r="I27" s="2">
        <v>0</v>
      </c>
      <c r="J27" s="1">
        <v>2021</v>
      </c>
      <c r="K27" s="1">
        <v>1996</v>
      </c>
      <c r="L27" s="1">
        <v>25</v>
      </c>
      <c r="M27" s="1">
        <v>2</v>
      </c>
      <c r="O27" t="s">
        <v>100</v>
      </c>
      <c r="P27" s="1">
        <f>_xlfn.XLOOKUP(Tabell3[[#This Row],[Namn]],Tabell4[Namn],Tabell4[SÄS])</f>
        <v>3</v>
      </c>
      <c r="Q27" s="1">
        <f>COUNTIF(Tabell27[Namn],Tabell3[[#This Row],[Namn]])</f>
        <v>1</v>
      </c>
      <c r="R27" s="5">
        <f>Tabell3[[#This Row],[100% SÄS]]/Tabell3[[#This Row],[SÄSONGER]]</f>
        <v>0.33333333333333331</v>
      </c>
      <c r="T27" s="1">
        <v>2025</v>
      </c>
      <c r="U27" s="1">
        <f>COUNTIF(Tabell27[ÅR],Tabell12[[#This Row],[ÅR]])</f>
        <v>3</v>
      </c>
    </row>
    <row r="28" spans="1:21" x14ac:dyDescent="0.2">
      <c r="A28" s="1">
        <v>2020</v>
      </c>
      <c r="B28" t="s">
        <v>56</v>
      </c>
      <c r="C28" s="1">
        <v>10</v>
      </c>
      <c r="D28" s="1">
        <v>1</v>
      </c>
      <c r="E28" s="1">
        <v>2</v>
      </c>
      <c r="F28" s="1">
        <v>0</v>
      </c>
      <c r="G28" s="1">
        <v>1</v>
      </c>
      <c r="H28" s="1">
        <v>10</v>
      </c>
      <c r="I28" s="2">
        <v>0.1</v>
      </c>
      <c r="J28" s="1">
        <v>2020</v>
      </c>
      <c r="K28" s="1">
        <v>2002</v>
      </c>
      <c r="L28" s="1">
        <v>18</v>
      </c>
      <c r="M28" s="1">
        <v>1</v>
      </c>
      <c r="O28" t="s">
        <v>105</v>
      </c>
      <c r="P28" s="1">
        <f>_xlfn.XLOOKUP(Tabell3[[#This Row],[Namn]],Tabell4[Namn],Tabell4[SÄS])</f>
        <v>3</v>
      </c>
      <c r="Q28" s="1">
        <f>COUNTIF(Tabell27[Namn],Tabell3[[#This Row],[Namn]])</f>
        <v>1</v>
      </c>
      <c r="R28" s="5">
        <f>Tabell3[[#This Row],[100% SÄS]]/Tabell3[[#This Row],[SÄSONGER]]</f>
        <v>0.33333333333333331</v>
      </c>
    </row>
    <row r="29" spans="1:21" x14ac:dyDescent="0.2">
      <c r="A29" s="1">
        <v>2020</v>
      </c>
      <c r="B29" t="s">
        <v>99</v>
      </c>
      <c r="C29" s="1">
        <v>10</v>
      </c>
      <c r="D29" s="1">
        <v>1</v>
      </c>
      <c r="E29" s="1">
        <v>1</v>
      </c>
      <c r="F29" s="1">
        <v>0</v>
      </c>
      <c r="G29" s="1">
        <v>0</v>
      </c>
      <c r="H29" s="1">
        <v>10</v>
      </c>
      <c r="I29" s="2">
        <v>0</v>
      </c>
      <c r="J29" s="1">
        <v>2020</v>
      </c>
      <c r="K29" s="1">
        <v>1998</v>
      </c>
      <c r="L29" s="1">
        <v>22</v>
      </c>
      <c r="M29" s="1">
        <v>1</v>
      </c>
      <c r="O29" t="s">
        <v>89</v>
      </c>
      <c r="P29" s="1">
        <f>_xlfn.XLOOKUP(Tabell3[[#This Row],[Namn]],Tabell4[Namn],Tabell4[SÄS])</f>
        <v>5</v>
      </c>
      <c r="Q29" s="1">
        <f>COUNTIF(Tabell27[Namn],Tabell3[[#This Row],[Namn]])</f>
        <v>1</v>
      </c>
      <c r="R29" s="5">
        <f>Tabell3[[#This Row],[100% SÄS]]/Tabell3[[#This Row],[SÄSONGER]]</f>
        <v>0.2</v>
      </c>
    </row>
    <row r="30" spans="1:21" x14ac:dyDescent="0.2">
      <c r="A30" s="1">
        <v>2020</v>
      </c>
      <c r="B30" t="s">
        <v>70</v>
      </c>
      <c r="C30" s="1">
        <v>10</v>
      </c>
      <c r="D30" s="1">
        <v>1</v>
      </c>
      <c r="E30" s="1">
        <v>1</v>
      </c>
      <c r="F30" s="1">
        <v>0</v>
      </c>
      <c r="G30" s="1">
        <v>0</v>
      </c>
      <c r="H30" s="1">
        <v>10</v>
      </c>
      <c r="I30" s="2">
        <v>0</v>
      </c>
      <c r="J30" s="1">
        <v>2020</v>
      </c>
      <c r="K30" s="1">
        <v>1997</v>
      </c>
      <c r="L30" s="1">
        <v>23</v>
      </c>
      <c r="M30" s="1">
        <v>1</v>
      </c>
      <c r="O30" t="s">
        <v>64</v>
      </c>
      <c r="P30" s="1">
        <f>_xlfn.XLOOKUP(Tabell3[[#This Row],[Namn]],Tabell4[Namn],Tabell4[SÄS])</f>
        <v>8</v>
      </c>
      <c r="Q30" s="1">
        <f>COUNTIF(Tabell27[Namn],Tabell3[[#This Row],[Namn]])</f>
        <v>1</v>
      </c>
      <c r="R30" s="5">
        <f>Tabell3[[#This Row],[100% SÄS]]/Tabell3[[#This Row],[SÄSONGER]]</f>
        <v>0.125</v>
      </c>
    </row>
    <row r="31" spans="1:21" x14ac:dyDescent="0.2">
      <c r="A31" s="1">
        <v>2020</v>
      </c>
      <c r="B31" t="s">
        <v>74</v>
      </c>
      <c r="C31" s="1">
        <v>10</v>
      </c>
      <c r="D31" s="1">
        <v>1</v>
      </c>
      <c r="E31" s="1">
        <v>0</v>
      </c>
      <c r="F31" s="1">
        <v>0</v>
      </c>
      <c r="G31" s="1">
        <v>0</v>
      </c>
      <c r="H31" s="1">
        <v>10</v>
      </c>
      <c r="I31" s="2">
        <v>0</v>
      </c>
      <c r="J31" s="1">
        <v>2020</v>
      </c>
      <c r="K31" s="1">
        <v>1996</v>
      </c>
      <c r="L31" s="1">
        <v>24</v>
      </c>
      <c r="M31" s="1">
        <v>1</v>
      </c>
      <c r="O31" t="s">
        <v>108</v>
      </c>
      <c r="P31" s="1">
        <f>_xlfn.XLOOKUP(Tabell3[[#This Row],[Namn]],Tabell4[Namn],Tabell4[SÄS])</f>
        <v>5</v>
      </c>
      <c r="Q31" s="1">
        <f>COUNTIF(Tabell27[Namn],Tabell3[[#This Row],[Namn]])</f>
        <v>1</v>
      </c>
      <c r="R31" s="5">
        <f>Tabell3[[#This Row],[100% SÄS]]/Tabell3[[#This Row],[SÄSONGER]]</f>
        <v>0.2</v>
      </c>
    </row>
    <row r="32" spans="1:21" x14ac:dyDescent="0.2">
      <c r="A32" s="1">
        <v>2019</v>
      </c>
      <c r="B32" t="s">
        <v>99</v>
      </c>
      <c r="C32" s="1">
        <v>26</v>
      </c>
      <c r="D32" s="1">
        <v>1</v>
      </c>
      <c r="E32" s="1">
        <v>0</v>
      </c>
      <c r="F32" s="1">
        <v>0</v>
      </c>
      <c r="G32" s="1">
        <v>4</v>
      </c>
      <c r="H32" s="1">
        <v>26</v>
      </c>
      <c r="I32" s="2">
        <v>0.15384615384615385</v>
      </c>
      <c r="J32" s="1">
        <v>2019</v>
      </c>
      <c r="K32" s="1">
        <v>1998</v>
      </c>
      <c r="L32" s="1">
        <v>21</v>
      </c>
      <c r="M32" s="1">
        <v>2</v>
      </c>
      <c r="O32" t="s">
        <v>129</v>
      </c>
      <c r="P32" s="1">
        <f>_xlfn.XLOOKUP(Tabell3[[#This Row],[Namn]],Tabell4[Namn],Tabell4[SÄS])</f>
        <v>2</v>
      </c>
      <c r="Q32" s="1">
        <f>COUNTIF(Tabell27[Namn],Tabell3[[#This Row],[Namn]])</f>
        <v>1</v>
      </c>
      <c r="R32" s="5">
        <f>Tabell3[[#This Row],[100% SÄS]]/Tabell3[[#This Row],[SÄSONGER]]</f>
        <v>0.5</v>
      </c>
    </row>
    <row r="33" spans="1:18" x14ac:dyDescent="0.2">
      <c r="A33" s="1">
        <v>2019</v>
      </c>
      <c r="B33" t="s">
        <v>100</v>
      </c>
      <c r="C33" s="1">
        <v>26</v>
      </c>
      <c r="D33" s="1">
        <v>1</v>
      </c>
      <c r="E33" s="1">
        <v>2</v>
      </c>
      <c r="F33" s="1">
        <v>0</v>
      </c>
      <c r="G33" s="1">
        <v>1</v>
      </c>
      <c r="H33" s="1">
        <v>26</v>
      </c>
      <c r="I33" s="2">
        <v>3.8461538461538464E-2</v>
      </c>
      <c r="J33" s="1">
        <v>2019</v>
      </c>
      <c r="K33" s="1">
        <v>1998</v>
      </c>
      <c r="L33" s="1">
        <v>21</v>
      </c>
      <c r="M33" s="1">
        <v>2</v>
      </c>
      <c r="O33" t="s">
        <v>139</v>
      </c>
      <c r="P33" s="1">
        <f>_xlfn.XLOOKUP(Tabell3[[#This Row],[Namn]],Tabell4[Namn],Tabell4[SÄS])</f>
        <v>3</v>
      </c>
      <c r="Q33" s="1">
        <f>COUNTIF(Tabell27[Namn],Tabell3[[#This Row],[Namn]])</f>
        <v>1</v>
      </c>
      <c r="R33" s="5">
        <f>Tabell3[[#This Row],[100% SÄS]]/Tabell3[[#This Row],[SÄSONGER]]</f>
        <v>0.33333333333333331</v>
      </c>
    </row>
    <row r="34" spans="1:18" x14ac:dyDescent="0.2">
      <c r="A34" s="1">
        <v>2019</v>
      </c>
      <c r="B34" t="s">
        <v>82</v>
      </c>
      <c r="C34" s="1">
        <v>26</v>
      </c>
      <c r="D34" s="1">
        <v>1</v>
      </c>
      <c r="E34" s="1">
        <v>1</v>
      </c>
      <c r="F34" s="1">
        <v>0</v>
      </c>
      <c r="G34" s="1">
        <v>1</v>
      </c>
      <c r="H34" s="1">
        <v>26</v>
      </c>
      <c r="I34" s="2">
        <v>3.8461538461538464E-2</v>
      </c>
      <c r="J34" s="1">
        <v>2019</v>
      </c>
      <c r="K34" s="1">
        <v>1995</v>
      </c>
      <c r="L34" s="1">
        <v>24</v>
      </c>
      <c r="M34" s="1">
        <v>2</v>
      </c>
      <c r="O34" t="s">
        <v>84</v>
      </c>
      <c r="P34" s="1">
        <f>_xlfn.XLOOKUP(Tabell3[[#This Row],[Namn]],Tabell4[Namn],Tabell4[SÄS])</f>
        <v>5</v>
      </c>
      <c r="Q34" s="1">
        <f>COUNTIF(Tabell27[Namn],Tabell3[[#This Row],[Namn]])</f>
        <v>1</v>
      </c>
      <c r="R34" s="5">
        <f>Tabell3[[#This Row],[100% SÄS]]/Tabell3[[#This Row],[SÄSONGER]]</f>
        <v>0.2</v>
      </c>
    </row>
    <row r="35" spans="1:18" x14ac:dyDescent="0.2">
      <c r="A35" s="1">
        <v>2018</v>
      </c>
      <c r="B35" t="s">
        <v>105</v>
      </c>
      <c r="C35" s="1">
        <v>18</v>
      </c>
      <c r="D35" s="1">
        <v>1</v>
      </c>
      <c r="E35" s="1">
        <v>2</v>
      </c>
      <c r="F35" s="1">
        <v>0</v>
      </c>
      <c r="G35" s="1">
        <v>30</v>
      </c>
      <c r="H35" s="1">
        <v>18</v>
      </c>
      <c r="I35" s="2">
        <v>1.6666666666666667</v>
      </c>
      <c r="J35" s="1">
        <v>2018</v>
      </c>
      <c r="K35" s="1">
        <v>1985</v>
      </c>
      <c r="L35" s="1">
        <v>33</v>
      </c>
      <c r="M35" s="1">
        <v>2</v>
      </c>
      <c r="O35" t="s">
        <v>135</v>
      </c>
      <c r="P35" s="1">
        <f>_xlfn.XLOOKUP(Tabell3[[#This Row],[Namn]],Tabell4[Namn],Tabell4[SÄS])</f>
        <v>7</v>
      </c>
      <c r="Q35" s="1">
        <f>COUNTIF(Tabell27[Namn],Tabell3[[#This Row],[Namn]])</f>
        <v>1</v>
      </c>
      <c r="R35" s="5">
        <f>Tabell3[[#This Row],[100% SÄS]]/Tabell3[[#This Row],[SÄSONGER]]</f>
        <v>0.14285714285714285</v>
      </c>
    </row>
    <row r="36" spans="1:18" x14ac:dyDescent="0.2">
      <c r="A36" s="1">
        <v>2018</v>
      </c>
      <c r="B36" t="s">
        <v>34</v>
      </c>
      <c r="C36" s="1">
        <v>18</v>
      </c>
      <c r="D36" s="1">
        <v>1</v>
      </c>
      <c r="E36" s="1">
        <v>0</v>
      </c>
      <c r="F36" s="1">
        <v>0</v>
      </c>
      <c r="G36" s="1">
        <v>10</v>
      </c>
      <c r="H36" s="1">
        <v>18</v>
      </c>
      <c r="I36" s="2">
        <v>0.55555555555555558</v>
      </c>
      <c r="J36" s="1">
        <v>2018</v>
      </c>
      <c r="K36" s="1">
        <v>1991</v>
      </c>
      <c r="L36" s="1">
        <v>27</v>
      </c>
      <c r="M36" s="1">
        <v>2</v>
      </c>
      <c r="O36" t="s">
        <v>170</v>
      </c>
      <c r="P36" s="1">
        <f>_xlfn.XLOOKUP(Tabell3[[#This Row],[Namn]],Tabell4[Namn],Tabell4[SÄS])</f>
        <v>4</v>
      </c>
      <c r="Q36" s="1">
        <f>COUNTIF(Tabell27[Namn],Tabell3[[#This Row],[Namn]])</f>
        <v>1</v>
      </c>
      <c r="R36" s="5">
        <f>Tabell3[[#This Row],[100% SÄS]]/Tabell3[[#This Row],[SÄSONGER]]</f>
        <v>0.25</v>
      </c>
    </row>
    <row r="37" spans="1:18" x14ac:dyDescent="0.2">
      <c r="A37" s="1">
        <v>2018</v>
      </c>
      <c r="B37" t="s">
        <v>89</v>
      </c>
      <c r="C37" s="1">
        <v>18</v>
      </c>
      <c r="D37" s="1">
        <v>1</v>
      </c>
      <c r="E37" s="1">
        <v>0</v>
      </c>
      <c r="F37" s="1">
        <v>0</v>
      </c>
      <c r="G37" s="1">
        <v>3</v>
      </c>
      <c r="H37" s="1">
        <v>18</v>
      </c>
      <c r="I37" s="2">
        <v>0.16666666666666666</v>
      </c>
      <c r="J37" s="1">
        <v>2018</v>
      </c>
      <c r="K37" s="1">
        <v>1991</v>
      </c>
      <c r="L37" s="1">
        <v>27</v>
      </c>
      <c r="M37" s="1">
        <v>2</v>
      </c>
      <c r="O37" t="s">
        <v>183</v>
      </c>
      <c r="P37" s="1">
        <f>_xlfn.XLOOKUP(Tabell3[[#This Row],[Namn]],Tabell4[Namn],Tabell4[SÄS])</f>
        <v>2</v>
      </c>
      <c r="Q37" s="1">
        <f>COUNTIF(Tabell27[Namn],Tabell3[[#This Row],[Namn]])</f>
        <v>1</v>
      </c>
      <c r="R37" s="5">
        <f>Tabell3[[#This Row],[100% SÄS]]/Tabell3[[#This Row],[SÄSONGER]]</f>
        <v>0.5</v>
      </c>
    </row>
    <row r="38" spans="1:18" x14ac:dyDescent="0.2">
      <c r="A38" s="1">
        <v>2017</v>
      </c>
      <c r="B38" t="s">
        <v>64</v>
      </c>
      <c r="C38" s="1">
        <v>16</v>
      </c>
      <c r="D38" s="1">
        <v>1</v>
      </c>
      <c r="E38" s="1">
        <v>0</v>
      </c>
      <c r="F38" s="1">
        <v>0</v>
      </c>
      <c r="G38" s="1">
        <v>5</v>
      </c>
      <c r="H38" s="1">
        <v>16</v>
      </c>
      <c r="I38" s="2">
        <v>0.3125</v>
      </c>
      <c r="J38" s="1">
        <v>2017</v>
      </c>
      <c r="K38" s="1">
        <v>2001</v>
      </c>
      <c r="L38" s="1">
        <v>16</v>
      </c>
      <c r="M38" s="1">
        <v>3</v>
      </c>
      <c r="O38" t="s">
        <v>184</v>
      </c>
      <c r="P38" s="1">
        <f>_xlfn.XLOOKUP(Tabell3[[#This Row],[Namn]],Tabell4[Namn],Tabell4[SÄS])</f>
        <v>2</v>
      </c>
      <c r="Q38" s="1">
        <f>COUNTIF(Tabell27[Namn],Tabell3[[#This Row],[Namn]])</f>
        <v>1</v>
      </c>
      <c r="R38" s="5">
        <f>Tabell3[[#This Row],[100% SÄS]]/Tabell3[[#This Row],[SÄSONGER]]</f>
        <v>0.5</v>
      </c>
    </row>
    <row r="39" spans="1:18" x14ac:dyDescent="0.2">
      <c r="A39" s="1">
        <v>2017</v>
      </c>
      <c r="B39" t="s">
        <v>108</v>
      </c>
      <c r="C39" s="1">
        <v>16</v>
      </c>
      <c r="D39" s="1">
        <v>1</v>
      </c>
      <c r="E39" s="1">
        <v>0</v>
      </c>
      <c r="F39" s="1">
        <v>0</v>
      </c>
      <c r="G39" s="1">
        <v>0</v>
      </c>
      <c r="H39" s="1">
        <v>16</v>
      </c>
      <c r="I39" s="2">
        <v>0</v>
      </c>
      <c r="J39" s="1">
        <v>2017</v>
      </c>
      <c r="K39" s="1">
        <v>2000</v>
      </c>
      <c r="L39" s="1">
        <v>17</v>
      </c>
      <c r="M39" s="1">
        <v>3</v>
      </c>
      <c r="O39" t="s">
        <v>185</v>
      </c>
      <c r="P39" s="1">
        <f>_xlfn.XLOOKUP(Tabell3[[#This Row],[Namn]],Tabell4[Namn],Tabell4[SÄS])</f>
        <v>2</v>
      </c>
      <c r="Q39" s="1">
        <f>COUNTIF(Tabell27[Namn],Tabell3[[#This Row],[Namn]])</f>
        <v>1</v>
      </c>
      <c r="R39" s="5">
        <f>Tabell3[[#This Row],[100% SÄS]]/Tabell3[[#This Row],[SÄSONGER]]</f>
        <v>0.5</v>
      </c>
    </row>
    <row r="40" spans="1:18" x14ac:dyDescent="0.2">
      <c r="A40" s="1">
        <v>2016</v>
      </c>
      <c r="B40" t="s">
        <v>129</v>
      </c>
      <c r="C40" s="1">
        <v>16</v>
      </c>
      <c r="D40" s="1">
        <v>1</v>
      </c>
      <c r="E40" s="1">
        <v>0</v>
      </c>
      <c r="F40" s="1">
        <v>0</v>
      </c>
      <c r="G40" s="1">
        <v>1</v>
      </c>
      <c r="H40" s="1">
        <v>16</v>
      </c>
      <c r="I40" s="2">
        <v>6.25E-2</v>
      </c>
      <c r="J40" s="1">
        <v>2016</v>
      </c>
      <c r="K40" s="1">
        <v>1999</v>
      </c>
      <c r="L40" s="1">
        <v>17</v>
      </c>
      <c r="M40" s="1">
        <v>4</v>
      </c>
      <c r="O40" t="s">
        <v>27</v>
      </c>
      <c r="P40" s="1">
        <f>_xlfn.XLOOKUP(Tabell3[[#This Row],[Namn]],Tabell4[Namn],Tabell4[SÄS])</f>
        <v>1</v>
      </c>
      <c r="Q40" s="1">
        <f>COUNTIF(Tabell27[Namn],Tabell3[[#This Row],[Namn]])</f>
        <v>0</v>
      </c>
      <c r="R40" s="5">
        <f>Tabell3[[#This Row],[100% SÄS]]/Tabell3[[#This Row],[SÄSONGER]]</f>
        <v>0</v>
      </c>
    </row>
    <row r="41" spans="1:18" x14ac:dyDescent="0.2">
      <c r="A41" s="1">
        <v>2014</v>
      </c>
      <c r="B41" t="s">
        <v>133</v>
      </c>
      <c r="C41" s="1">
        <v>16</v>
      </c>
      <c r="D41" s="1">
        <v>1</v>
      </c>
      <c r="E41" s="1">
        <v>0</v>
      </c>
      <c r="F41" s="1">
        <v>0</v>
      </c>
      <c r="G41" s="1">
        <v>32</v>
      </c>
      <c r="H41" s="1">
        <v>16</v>
      </c>
      <c r="I41" s="2">
        <v>2</v>
      </c>
      <c r="J41" s="1">
        <v>2014</v>
      </c>
      <c r="K41" s="1">
        <v>1996</v>
      </c>
      <c r="L41" s="1">
        <v>18</v>
      </c>
      <c r="M41" s="1">
        <v>4</v>
      </c>
      <c r="O41" t="s">
        <v>30</v>
      </c>
      <c r="P41" s="1">
        <f>_xlfn.XLOOKUP(Tabell3[[#This Row],[Namn]],Tabell4[Namn],Tabell4[SÄS])</f>
        <v>2</v>
      </c>
      <c r="Q41" s="1">
        <f>COUNTIF(Tabell27[Namn],Tabell3[[#This Row],[Namn]])</f>
        <v>0</v>
      </c>
      <c r="R41" s="5">
        <f>Tabell3[[#This Row],[100% SÄS]]/Tabell3[[#This Row],[SÄSONGER]]</f>
        <v>0</v>
      </c>
    </row>
    <row r="42" spans="1:18" x14ac:dyDescent="0.2">
      <c r="A42" s="1">
        <v>2013</v>
      </c>
      <c r="B42" t="s">
        <v>133</v>
      </c>
      <c r="C42" s="1">
        <v>14</v>
      </c>
      <c r="D42" s="1">
        <v>1</v>
      </c>
      <c r="E42" s="1">
        <v>0</v>
      </c>
      <c r="F42" s="1">
        <v>0</v>
      </c>
      <c r="G42" s="1">
        <v>15</v>
      </c>
      <c r="H42" s="1">
        <v>14</v>
      </c>
      <c r="I42" s="2">
        <v>1.0714285714285714</v>
      </c>
      <c r="J42" s="1">
        <v>2013</v>
      </c>
      <c r="K42" s="1">
        <v>1996</v>
      </c>
      <c r="L42" s="1">
        <v>17</v>
      </c>
      <c r="M42" s="1">
        <v>4</v>
      </c>
      <c r="O42" t="s">
        <v>32</v>
      </c>
      <c r="P42" s="1">
        <f>_xlfn.XLOOKUP(Tabell3[[#This Row],[Namn]],Tabell4[Namn],Tabell4[SÄS])</f>
        <v>2</v>
      </c>
      <c r="Q42" s="1">
        <f>COUNTIF(Tabell27[Namn],Tabell3[[#This Row],[Namn]])</f>
        <v>0</v>
      </c>
      <c r="R42" s="5">
        <f>Tabell3[[#This Row],[100% SÄS]]/Tabell3[[#This Row],[SÄSONGER]]</f>
        <v>0</v>
      </c>
    </row>
    <row r="43" spans="1:18" x14ac:dyDescent="0.2">
      <c r="A43" s="1">
        <v>2013</v>
      </c>
      <c r="B43" t="s">
        <v>139</v>
      </c>
      <c r="C43" s="1">
        <v>14</v>
      </c>
      <c r="D43" s="1">
        <v>1</v>
      </c>
      <c r="E43" s="1">
        <v>0</v>
      </c>
      <c r="F43" s="1">
        <v>0</v>
      </c>
      <c r="G43" s="1">
        <v>9</v>
      </c>
      <c r="H43" s="1">
        <v>14</v>
      </c>
      <c r="I43" s="2">
        <v>0.6428571428571429</v>
      </c>
      <c r="J43" s="1">
        <v>2013</v>
      </c>
      <c r="K43" s="1">
        <v>1996</v>
      </c>
      <c r="L43" s="1">
        <v>17</v>
      </c>
      <c r="M43" s="1">
        <v>4</v>
      </c>
      <c r="O43" t="s">
        <v>25</v>
      </c>
      <c r="P43" s="1">
        <f>_xlfn.XLOOKUP(Tabell3[[#This Row],[Namn]],Tabell4[Namn],Tabell4[SÄS])</f>
        <v>1</v>
      </c>
      <c r="Q43" s="1">
        <f>COUNTIF(Tabell27[Namn],Tabell3[[#This Row],[Namn]])</f>
        <v>0</v>
      </c>
      <c r="R43" s="5">
        <f>Tabell3[[#This Row],[100% SÄS]]/Tabell3[[#This Row],[SÄSONGER]]</f>
        <v>0</v>
      </c>
    </row>
    <row r="44" spans="1:18" x14ac:dyDescent="0.2">
      <c r="A44" s="1">
        <v>2013</v>
      </c>
      <c r="B44" t="s">
        <v>84</v>
      </c>
      <c r="C44" s="1">
        <v>14</v>
      </c>
      <c r="D44" s="1">
        <v>1</v>
      </c>
      <c r="E44" s="1">
        <v>0</v>
      </c>
      <c r="F44" s="1">
        <v>0</v>
      </c>
      <c r="G44" s="1">
        <v>1</v>
      </c>
      <c r="H44" s="1">
        <v>14</v>
      </c>
      <c r="I44" s="2">
        <v>7.1428571428571425E-2</v>
      </c>
      <c r="J44" s="1">
        <v>2013</v>
      </c>
      <c r="K44" s="1">
        <v>1997</v>
      </c>
      <c r="L44" s="1">
        <v>16</v>
      </c>
      <c r="M44" s="1">
        <v>4</v>
      </c>
      <c r="O44" t="s">
        <v>26</v>
      </c>
      <c r="P44" s="1">
        <f>_xlfn.XLOOKUP(Tabell3[[#This Row],[Namn]],Tabell4[Namn],Tabell4[SÄS])</f>
        <v>4</v>
      </c>
      <c r="Q44" s="1">
        <f>COUNTIF(Tabell27[Namn],Tabell3[[#This Row],[Namn]])</f>
        <v>0</v>
      </c>
      <c r="R44" s="5">
        <f>Tabell3[[#This Row],[100% SÄS]]/Tabell3[[#This Row],[SÄSONGER]]</f>
        <v>0</v>
      </c>
    </row>
    <row r="45" spans="1:18" x14ac:dyDescent="0.2">
      <c r="A45" s="1">
        <v>2013</v>
      </c>
      <c r="B45" t="s">
        <v>74</v>
      </c>
      <c r="C45" s="1">
        <v>14</v>
      </c>
      <c r="D45" s="1">
        <v>1</v>
      </c>
      <c r="E45" s="1">
        <v>0</v>
      </c>
      <c r="F45" s="1">
        <v>0</v>
      </c>
      <c r="G45" s="1">
        <v>0</v>
      </c>
      <c r="H45" s="1">
        <v>14</v>
      </c>
      <c r="I45" s="2">
        <v>0</v>
      </c>
      <c r="J45" s="1">
        <v>2013</v>
      </c>
      <c r="K45" s="1">
        <v>1996</v>
      </c>
      <c r="L45" s="1">
        <v>17</v>
      </c>
      <c r="M45" s="1">
        <v>4</v>
      </c>
      <c r="O45" t="s">
        <v>28</v>
      </c>
      <c r="P45" s="1">
        <f>_xlfn.XLOOKUP(Tabell3[[#This Row],[Namn]],Tabell4[Namn],Tabell4[SÄS])</f>
        <v>4</v>
      </c>
      <c r="Q45" s="1">
        <f>COUNTIF(Tabell27[Namn],Tabell3[[#This Row],[Namn]])</f>
        <v>0</v>
      </c>
      <c r="R45" s="5">
        <f>Tabell3[[#This Row],[100% SÄS]]/Tabell3[[#This Row],[SÄSONGER]]</f>
        <v>0</v>
      </c>
    </row>
    <row r="46" spans="1:18" x14ac:dyDescent="0.2">
      <c r="A46" s="1">
        <v>2013</v>
      </c>
      <c r="B46" t="s">
        <v>168</v>
      </c>
      <c r="C46" s="1">
        <v>14</v>
      </c>
      <c r="D46" s="1">
        <v>1</v>
      </c>
      <c r="E46" s="1">
        <v>0</v>
      </c>
      <c r="F46" s="1">
        <v>0</v>
      </c>
      <c r="G46" s="1">
        <v>0</v>
      </c>
      <c r="H46" s="1">
        <v>14</v>
      </c>
      <c r="I46" s="2">
        <v>0</v>
      </c>
      <c r="J46" s="1">
        <v>2013</v>
      </c>
      <c r="K46" s="1">
        <v>1969</v>
      </c>
      <c r="L46" s="1">
        <v>44</v>
      </c>
      <c r="M46" s="1">
        <v>4</v>
      </c>
      <c r="O46" t="s">
        <v>31</v>
      </c>
      <c r="P46" s="1">
        <f>_xlfn.XLOOKUP(Tabell3[[#This Row],[Namn]],Tabell4[Namn],Tabell4[SÄS])</f>
        <v>3</v>
      </c>
      <c r="Q46" s="1">
        <f>COUNTIF(Tabell27[Namn],Tabell3[[#This Row],[Namn]])</f>
        <v>0</v>
      </c>
      <c r="R46" s="5">
        <f>Tabell3[[#This Row],[100% SÄS]]/Tabell3[[#This Row],[SÄSONGER]]</f>
        <v>0</v>
      </c>
    </row>
    <row r="47" spans="1:18" x14ac:dyDescent="0.2">
      <c r="A47" s="1">
        <v>2012</v>
      </c>
      <c r="B47" t="s">
        <v>133</v>
      </c>
      <c r="C47" s="1">
        <v>18</v>
      </c>
      <c r="D47" s="1">
        <v>1</v>
      </c>
      <c r="E47" s="1">
        <v>0</v>
      </c>
      <c r="F47" s="1">
        <v>0</v>
      </c>
      <c r="G47" s="1">
        <v>4</v>
      </c>
      <c r="H47" s="1">
        <v>18</v>
      </c>
      <c r="I47" s="2">
        <v>0.22222222222222221</v>
      </c>
      <c r="J47" s="1">
        <v>2012</v>
      </c>
      <c r="K47" s="1">
        <v>1996</v>
      </c>
      <c r="L47" s="1">
        <v>16</v>
      </c>
      <c r="M47" s="1">
        <v>4</v>
      </c>
      <c r="O47" t="s">
        <v>33</v>
      </c>
      <c r="P47" s="1">
        <f>_xlfn.XLOOKUP(Tabell3[[#This Row],[Namn]],Tabell4[Namn],Tabell4[SÄS])</f>
        <v>5</v>
      </c>
      <c r="Q47" s="1">
        <f>COUNTIF(Tabell27[Namn],Tabell3[[#This Row],[Namn]])</f>
        <v>0</v>
      </c>
      <c r="R47" s="5">
        <f>Tabell3[[#This Row],[100% SÄS]]/Tabell3[[#This Row],[SÄSONGER]]</f>
        <v>0</v>
      </c>
    </row>
    <row r="48" spans="1:18" x14ac:dyDescent="0.2">
      <c r="A48" s="1">
        <v>2012</v>
      </c>
      <c r="B48" t="s">
        <v>135</v>
      </c>
      <c r="C48" s="1">
        <v>18</v>
      </c>
      <c r="D48" s="1">
        <v>1</v>
      </c>
      <c r="E48" s="1">
        <v>1</v>
      </c>
      <c r="F48" s="1">
        <v>0</v>
      </c>
      <c r="G48" s="1">
        <v>0</v>
      </c>
      <c r="H48" s="1">
        <v>18</v>
      </c>
      <c r="I48" s="2">
        <v>0</v>
      </c>
      <c r="J48" s="1">
        <v>2012</v>
      </c>
      <c r="K48" s="1">
        <v>1996</v>
      </c>
      <c r="L48" s="1">
        <v>16</v>
      </c>
      <c r="M48" s="1">
        <v>4</v>
      </c>
      <c r="O48" t="s">
        <v>42</v>
      </c>
      <c r="P48" s="1">
        <f>_xlfn.XLOOKUP(Tabell3[[#This Row],[Namn]],Tabell4[Namn],Tabell4[SÄS])</f>
        <v>3</v>
      </c>
      <c r="Q48" s="1">
        <f>COUNTIF(Tabell27[Namn],Tabell3[[#This Row],[Namn]])</f>
        <v>0</v>
      </c>
      <c r="R48" s="5">
        <f>Tabell3[[#This Row],[100% SÄS]]/Tabell3[[#This Row],[SÄSONGER]]</f>
        <v>0</v>
      </c>
    </row>
    <row r="49" spans="1:13" x14ac:dyDescent="0.2">
      <c r="A49" s="1">
        <v>2012</v>
      </c>
      <c r="B49" t="s">
        <v>168</v>
      </c>
      <c r="C49" s="1">
        <v>18</v>
      </c>
      <c r="D49" s="1">
        <v>1</v>
      </c>
      <c r="E49" s="1">
        <v>1</v>
      </c>
      <c r="F49" s="1">
        <v>0</v>
      </c>
      <c r="G49" s="1">
        <v>0</v>
      </c>
      <c r="H49" s="1">
        <v>18</v>
      </c>
      <c r="I49" s="2">
        <v>0</v>
      </c>
      <c r="J49" s="1">
        <v>2012</v>
      </c>
      <c r="K49" s="1">
        <v>1969</v>
      </c>
      <c r="L49" s="1">
        <v>43</v>
      </c>
      <c r="M49" s="1">
        <v>4</v>
      </c>
    </row>
    <row r="50" spans="1:13" x14ac:dyDescent="0.2">
      <c r="A50" s="1">
        <v>2012</v>
      </c>
      <c r="B50" t="s">
        <v>170</v>
      </c>
      <c r="C50" s="1">
        <v>18</v>
      </c>
      <c r="D50" s="1">
        <v>1</v>
      </c>
      <c r="E50" s="1">
        <v>0</v>
      </c>
      <c r="F50" s="1">
        <v>0</v>
      </c>
      <c r="G50" s="1">
        <v>0</v>
      </c>
      <c r="H50" s="1">
        <v>18</v>
      </c>
      <c r="I50" s="2">
        <v>0</v>
      </c>
      <c r="J50" s="1">
        <v>2012</v>
      </c>
      <c r="K50" s="1">
        <v>1990</v>
      </c>
      <c r="L50" s="1">
        <v>22</v>
      </c>
      <c r="M50" s="1">
        <v>4</v>
      </c>
    </row>
    <row r="51" spans="1:13" x14ac:dyDescent="0.2">
      <c r="A51" s="1">
        <v>2011</v>
      </c>
      <c r="B51" t="s">
        <v>183</v>
      </c>
      <c r="C51" s="1">
        <v>24</v>
      </c>
      <c r="D51" s="1">
        <v>1</v>
      </c>
      <c r="E51" s="1">
        <v>1</v>
      </c>
      <c r="F51" s="1">
        <v>0</v>
      </c>
      <c r="G51" s="1">
        <v>3</v>
      </c>
      <c r="H51" s="1">
        <v>24</v>
      </c>
      <c r="I51" s="2">
        <v>0.125</v>
      </c>
      <c r="J51" s="1">
        <v>2011</v>
      </c>
      <c r="K51" s="1">
        <v>1991</v>
      </c>
      <c r="L51" s="1">
        <v>20</v>
      </c>
      <c r="M51" s="1">
        <v>3</v>
      </c>
    </row>
    <row r="52" spans="1:13" x14ac:dyDescent="0.2">
      <c r="A52" s="1">
        <v>2011</v>
      </c>
      <c r="B52" t="s">
        <v>184</v>
      </c>
      <c r="C52" s="1">
        <v>24</v>
      </c>
      <c r="D52" s="1">
        <v>1</v>
      </c>
      <c r="E52" s="1">
        <v>0</v>
      </c>
      <c r="F52" s="1">
        <v>0</v>
      </c>
      <c r="G52" s="1">
        <v>2</v>
      </c>
      <c r="H52" s="1">
        <v>24</v>
      </c>
      <c r="I52" s="2">
        <v>8.3333333333333329E-2</v>
      </c>
      <c r="J52" s="1">
        <v>2011</v>
      </c>
      <c r="K52" s="1">
        <v>1992</v>
      </c>
      <c r="L52" s="1">
        <v>19</v>
      </c>
      <c r="M52" s="1">
        <v>3</v>
      </c>
    </row>
    <row r="53" spans="1:13" x14ac:dyDescent="0.2">
      <c r="A53" s="1">
        <v>2011</v>
      </c>
      <c r="B53" t="s">
        <v>185</v>
      </c>
      <c r="C53" s="1">
        <v>24</v>
      </c>
      <c r="D53" s="1">
        <v>1</v>
      </c>
      <c r="E53" s="1">
        <v>2</v>
      </c>
      <c r="F53" s="1">
        <v>0</v>
      </c>
      <c r="G53" s="1">
        <v>1</v>
      </c>
      <c r="H53" s="1">
        <v>24</v>
      </c>
      <c r="I53" s="2">
        <v>4.1666666666666664E-2</v>
      </c>
      <c r="J53" s="1">
        <v>2011</v>
      </c>
      <c r="K53" s="1">
        <v>1990</v>
      </c>
      <c r="L53" s="1">
        <v>21</v>
      </c>
      <c r="M53" s="1">
        <v>3</v>
      </c>
    </row>
  </sheetData>
  <conditionalFormatting sqref="U13:U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  <tableParts count="3">
    <tablePart r:id="rId2"/>
    <tablePart r:id="rId3"/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ECCD-6B03-4ED0-B400-5538DC8E9C8B}">
  <dimension ref="A1:BT37"/>
  <sheetViews>
    <sheetView workbookViewId="0">
      <selection activeCell="BT2" sqref="BT1:BT1048576"/>
    </sheetView>
  </sheetViews>
  <sheetFormatPr defaultRowHeight="10.199999999999999" x14ac:dyDescent="0.2"/>
  <cols>
    <col min="1" max="1" width="13.85546875" bestFit="1" customWidth="1"/>
    <col min="2" max="3" width="3.7109375" style="1" customWidth="1"/>
    <col min="4" max="5" width="3.7109375" customWidth="1"/>
    <col min="6" max="6" width="3.7109375" style="4" customWidth="1"/>
    <col min="7" max="30" width="3.7109375" customWidth="1"/>
    <col min="31" max="31" width="3" customWidth="1"/>
    <col min="32" max="32" width="10.140625" hidden="1" customWidth="1"/>
    <col min="34" max="34" width="14" bestFit="1" customWidth="1"/>
    <col min="35" max="51" width="3.7109375" customWidth="1"/>
    <col min="52" max="52" width="11.5703125" hidden="1" customWidth="1"/>
    <col min="54" max="54" width="14" bestFit="1" customWidth="1"/>
    <col min="55" max="71" width="4.7109375" style="1" customWidth="1"/>
    <col min="72" max="72" width="3.7109375" hidden="1" customWidth="1"/>
    <col min="73" max="81" width="3.7109375" customWidth="1"/>
    <col min="82" max="82" width="11.5703125" bestFit="1" customWidth="1"/>
  </cols>
  <sheetData>
    <row r="1" spans="1:72" x14ac:dyDescent="0.2">
      <c r="A1" s="147" t="s">
        <v>430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H1" s="147" t="s">
        <v>429</v>
      </c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B1" s="147" t="s">
        <v>428</v>
      </c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</row>
    <row r="2" spans="1:72" x14ac:dyDescent="0.2">
      <c r="A2" s="27" t="s">
        <v>425</v>
      </c>
      <c r="B2" s="27" t="s">
        <v>1</v>
      </c>
      <c r="C2"/>
      <c r="F2"/>
      <c r="AH2" s="27" t="s">
        <v>425</v>
      </c>
      <c r="AI2" s="27" t="s">
        <v>426</v>
      </c>
      <c r="BB2" s="27" t="s">
        <v>226</v>
      </c>
      <c r="BC2" s="28" t="s">
        <v>427</v>
      </c>
      <c r="BT2" s="1"/>
    </row>
    <row r="3" spans="1:72" ht="21" x14ac:dyDescent="0.2">
      <c r="A3" s="27" t="s">
        <v>15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  <c r="R3">
        <v>16</v>
      </c>
      <c r="S3">
        <v>17</v>
      </c>
      <c r="T3">
        <v>18</v>
      </c>
      <c r="U3">
        <v>19</v>
      </c>
      <c r="V3">
        <v>20</v>
      </c>
      <c r="W3">
        <v>21</v>
      </c>
      <c r="X3">
        <v>22</v>
      </c>
      <c r="Y3">
        <v>23</v>
      </c>
      <c r="Z3">
        <v>24</v>
      </c>
      <c r="AA3">
        <v>25</v>
      </c>
      <c r="AB3">
        <v>26</v>
      </c>
      <c r="AC3">
        <v>27</v>
      </c>
      <c r="AD3">
        <v>28</v>
      </c>
      <c r="AE3">
        <v>29</v>
      </c>
      <c r="AF3" t="s">
        <v>385</v>
      </c>
      <c r="AH3" s="27" t="s">
        <v>15</v>
      </c>
      <c r="AI3" s="135">
        <v>2010</v>
      </c>
      <c r="AJ3" s="135">
        <v>2011</v>
      </c>
      <c r="AK3" s="135">
        <v>2012</v>
      </c>
      <c r="AL3" s="135">
        <v>2013</v>
      </c>
      <c r="AM3" s="135">
        <v>2014</v>
      </c>
      <c r="AN3" s="135">
        <v>2015</v>
      </c>
      <c r="AO3" s="135">
        <v>2016</v>
      </c>
      <c r="AP3" s="135">
        <v>2017</v>
      </c>
      <c r="AQ3" s="135">
        <v>2018</v>
      </c>
      <c r="AR3" s="135">
        <v>2019</v>
      </c>
      <c r="AS3" s="135">
        <v>2020</v>
      </c>
      <c r="AT3" s="135">
        <v>2021</v>
      </c>
      <c r="AU3" s="135">
        <v>2022</v>
      </c>
      <c r="AV3" s="135">
        <v>2023</v>
      </c>
      <c r="AW3" s="135">
        <v>2024</v>
      </c>
      <c r="AX3" s="135">
        <v>2025</v>
      </c>
      <c r="AY3" s="135">
        <v>2026</v>
      </c>
      <c r="AZ3" t="s">
        <v>385</v>
      </c>
      <c r="BB3" s="27" t="s">
        <v>15</v>
      </c>
      <c r="BC3" s="128">
        <v>2010</v>
      </c>
      <c r="BD3" s="128">
        <v>2011</v>
      </c>
      <c r="BE3" s="128">
        <v>2012</v>
      </c>
      <c r="BF3" s="128">
        <v>2013</v>
      </c>
      <c r="BG3" s="128">
        <v>2014</v>
      </c>
      <c r="BH3" s="128">
        <v>2015</v>
      </c>
      <c r="BI3" s="128">
        <v>2016</v>
      </c>
      <c r="BJ3" s="128">
        <v>2017</v>
      </c>
      <c r="BK3" s="128">
        <v>2018</v>
      </c>
      <c r="BL3" s="128">
        <v>2019</v>
      </c>
      <c r="BM3" s="128">
        <v>2020</v>
      </c>
      <c r="BN3" s="128">
        <v>2021</v>
      </c>
      <c r="BO3" s="128">
        <v>2022</v>
      </c>
      <c r="BP3" s="128">
        <v>2023</v>
      </c>
      <c r="BQ3" s="128">
        <v>2024</v>
      </c>
      <c r="BR3" s="128">
        <v>2025</v>
      </c>
      <c r="BS3" s="128">
        <v>2026</v>
      </c>
      <c r="BT3" t="s">
        <v>385</v>
      </c>
    </row>
    <row r="4" spans="1:72" x14ac:dyDescent="0.2">
      <c r="A4" s="3">
        <v>13</v>
      </c>
      <c r="B4" s="151"/>
      <c r="C4" s="151">
        <v>1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>
        <v>1</v>
      </c>
      <c r="AH4" s="3">
        <v>13</v>
      </c>
      <c r="AI4" s="151"/>
      <c r="AJ4" s="151"/>
      <c r="AK4" s="151">
        <v>1</v>
      </c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>
        <v>1</v>
      </c>
      <c r="BB4" s="3">
        <v>13</v>
      </c>
      <c r="BC4" s="152"/>
      <c r="BD4" s="152"/>
      <c r="BE4" s="152">
        <v>0</v>
      </c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1">
        <v>0</v>
      </c>
    </row>
    <row r="5" spans="1:72" x14ac:dyDescent="0.2">
      <c r="A5" s="3">
        <v>14</v>
      </c>
      <c r="B5" s="151"/>
      <c r="C5" s="151">
        <v>7</v>
      </c>
      <c r="D5" s="151">
        <v>3</v>
      </c>
      <c r="E5" s="151">
        <v>2</v>
      </c>
      <c r="F5" s="151">
        <v>5</v>
      </c>
      <c r="G5" s="151">
        <v>3</v>
      </c>
      <c r="H5" s="151">
        <v>1</v>
      </c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>
        <v>21</v>
      </c>
      <c r="AH5" s="3">
        <v>14</v>
      </c>
      <c r="AI5" s="151">
        <v>1</v>
      </c>
      <c r="AJ5" s="151"/>
      <c r="AK5" s="151"/>
      <c r="AL5" s="151">
        <v>5</v>
      </c>
      <c r="AM5" s="151">
        <v>1</v>
      </c>
      <c r="AN5" s="151">
        <v>9</v>
      </c>
      <c r="AO5" s="151">
        <v>1</v>
      </c>
      <c r="AP5" s="151">
        <v>3</v>
      </c>
      <c r="AQ5" s="151"/>
      <c r="AR5" s="151"/>
      <c r="AS5" s="151">
        <v>1</v>
      </c>
      <c r="AT5" s="151"/>
      <c r="AU5" s="151"/>
      <c r="AV5" s="151"/>
      <c r="AW5" s="151"/>
      <c r="AX5" s="151"/>
      <c r="AY5" s="151"/>
      <c r="AZ5" s="151">
        <v>21</v>
      </c>
      <c r="BB5" s="3">
        <v>14</v>
      </c>
      <c r="BC5" s="152">
        <v>0</v>
      </c>
      <c r="BD5" s="152"/>
      <c r="BE5" s="152"/>
      <c r="BF5" s="152">
        <v>0</v>
      </c>
      <c r="BG5" s="152">
        <v>0</v>
      </c>
      <c r="BH5" s="152">
        <v>5</v>
      </c>
      <c r="BI5" s="152">
        <v>6</v>
      </c>
      <c r="BJ5" s="152">
        <v>0</v>
      </c>
      <c r="BK5" s="152"/>
      <c r="BL5" s="152"/>
      <c r="BM5" s="152">
        <v>0</v>
      </c>
      <c r="BN5" s="152"/>
      <c r="BO5" s="152"/>
      <c r="BP5" s="152"/>
      <c r="BQ5" s="152"/>
      <c r="BR5" s="152"/>
      <c r="BS5" s="152"/>
      <c r="BT5" s="151">
        <v>11</v>
      </c>
    </row>
    <row r="6" spans="1:72" x14ac:dyDescent="0.2">
      <c r="A6" s="3">
        <v>15</v>
      </c>
      <c r="B6" s="151"/>
      <c r="C6" s="151">
        <v>14</v>
      </c>
      <c r="D6" s="151">
        <v>7</v>
      </c>
      <c r="E6" s="151">
        <v>2</v>
      </c>
      <c r="F6" s="151">
        <v>2</v>
      </c>
      <c r="G6" s="151">
        <v>1</v>
      </c>
      <c r="H6" s="151">
        <v>3</v>
      </c>
      <c r="I6" s="151">
        <v>1</v>
      </c>
      <c r="J6" s="151"/>
      <c r="K6" s="151">
        <v>3</v>
      </c>
      <c r="L6" s="151">
        <v>1</v>
      </c>
      <c r="M6" s="151">
        <v>3</v>
      </c>
      <c r="N6" s="151"/>
      <c r="O6" s="151">
        <v>2</v>
      </c>
      <c r="P6" s="151">
        <v>2</v>
      </c>
      <c r="Q6" s="151">
        <v>2</v>
      </c>
      <c r="R6" s="151"/>
      <c r="S6" s="151"/>
      <c r="T6" s="151"/>
      <c r="U6" s="151"/>
      <c r="V6" s="151"/>
      <c r="W6" s="151">
        <v>1</v>
      </c>
      <c r="X6" s="151">
        <v>1</v>
      </c>
      <c r="Y6" s="151"/>
      <c r="Z6" s="151"/>
      <c r="AA6" s="151"/>
      <c r="AB6" s="151"/>
      <c r="AC6" s="151"/>
      <c r="AD6" s="151"/>
      <c r="AE6" s="151"/>
      <c r="AF6" s="151">
        <v>45</v>
      </c>
      <c r="AH6" s="3">
        <v>15</v>
      </c>
      <c r="AI6" s="151"/>
      <c r="AJ6" s="151">
        <v>1</v>
      </c>
      <c r="AK6" s="151">
        <v>3</v>
      </c>
      <c r="AL6" s="151">
        <v>2</v>
      </c>
      <c r="AM6" s="151">
        <v>4</v>
      </c>
      <c r="AN6" s="151">
        <v>11</v>
      </c>
      <c r="AO6" s="151">
        <v>7</v>
      </c>
      <c r="AP6" s="151">
        <v>3</v>
      </c>
      <c r="AQ6" s="151"/>
      <c r="AR6" s="151">
        <v>2</v>
      </c>
      <c r="AS6" s="151">
        <v>1</v>
      </c>
      <c r="AT6" s="151"/>
      <c r="AU6" s="151">
        <v>1</v>
      </c>
      <c r="AV6" s="151">
        <v>2</v>
      </c>
      <c r="AW6" s="151">
        <v>2</v>
      </c>
      <c r="AX6" s="151">
        <v>4</v>
      </c>
      <c r="AY6" s="151">
        <v>2</v>
      </c>
      <c r="AZ6" s="151">
        <v>45</v>
      </c>
      <c r="BB6" s="3">
        <v>15</v>
      </c>
      <c r="BC6" s="152"/>
      <c r="BD6" s="152">
        <v>0</v>
      </c>
      <c r="BE6" s="152">
        <v>2</v>
      </c>
      <c r="BF6" s="152">
        <v>0</v>
      </c>
      <c r="BG6" s="152">
        <v>1</v>
      </c>
      <c r="BH6" s="152">
        <v>33</v>
      </c>
      <c r="BI6" s="152">
        <v>5</v>
      </c>
      <c r="BJ6" s="152">
        <v>9</v>
      </c>
      <c r="BK6" s="152"/>
      <c r="BL6" s="152">
        <v>0</v>
      </c>
      <c r="BM6" s="152">
        <v>0</v>
      </c>
      <c r="BN6" s="152"/>
      <c r="BO6" s="152">
        <v>0</v>
      </c>
      <c r="BP6" s="152">
        <v>1</v>
      </c>
      <c r="BQ6" s="152">
        <v>0</v>
      </c>
      <c r="BR6" s="152">
        <v>0</v>
      </c>
      <c r="BS6" s="152">
        <v>2</v>
      </c>
      <c r="BT6" s="151">
        <v>53</v>
      </c>
    </row>
    <row r="7" spans="1:72" x14ac:dyDescent="0.2">
      <c r="A7" s="3">
        <v>16</v>
      </c>
      <c r="B7" s="151">
        <v>1</v>
      </c>
      <c r="C7" s="151">
        <v>4</v>
      </c>
      <c r="D7" s="151">
        <v>2</v>
      </c>
      <c r="E7" s="151">
        <v>5</v>
      </c>
      <c r="F7" s="151">
        <v>3</v>
      </c>
      <c r="G7" s="151"/>
      <c r="H7" s="151">
        <v>4</v>
      </c>
      <c r="I7" s="151">
        <v>4</v>
      </c>
      <c r="J7" s="151">
        <v>2</v>
      </c>
      <c r="K7" s="151">
        <v>5</v>
      </c>
      <c r="L7" s="151">
        <v>1</v>
      </c>
      <c r="M7" s="151">
        <v>2</v>
      </c>
      <c r="N7" s="151">
        <v>3</v>
      </c>
      <c r="O7" s="151">
        <v>1</v>
      </c>
      <c r="P7" s="151">
        <v>3</v>
      </c>
      <c r="Q7" s="151">
        <v>1</v>
      </c>
      <c r="R7" s="151">
        <v>4</v>
      </c>
      <c r="S7" s="151">
        <v>2</v>
      </c>
      <c r="T7" s="151">
        <v>2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>
        <v>49</v>
      </c>
      <c r="AH7" s="3">
        <v>16</v>
      </c>
      <c r="AI7" s="151"/>
      <c r="AJ7" s="151"/>
      <c r="AK7" s="151">
        <v>12</v>
      </c>
      <c r="AL7" s="151">
        <v>3</v>
      </c>
      <c r="AM7" s="151">
        <v>4</v>
      </c>
      <c r="AN7" s="151">
        <v>4</v>
      </c>
      <c r="AO7" s="151">
        <v>5</v>
      </c>
      <c r="AP7" s="151">
        <v>3</v>
      </c>
      <c r="AQ7" s="151">
        <v>1</v>
      </c>
      <c r="AR7" s="151">
        <v>2</v>
      </c>
      <c r="AS7" s="151">
        <v>3</v>
      </c>
      <c r="AT7" s="151">
        <v>2</v>
      </c>
      <c r="AU7" s="151"/>
      <c r="AV7" s="151">
        <v>3</v>
      </c>
      <c r="AW7" s="151">
        <v>4</v>
      </c>
      <c r="AX7" s="151">
        <v>2</v>
      </c>
      <c r="AY7" s="151">
        <v>1</v>
      </c>
      <c r="AZ7" s="151">
        <v>49</v>
      </c>
      <c r="BB7" s="3">
        <v>16</v>
      </c>
      <c r="BC7" s="152"/>
      <c r="BD7" s="152"/>
      <c r="BE7" s="152">
        <v>14</v>
      </c>
      <c r="BF7" s="152">
        <v>3</v>
      </c>
      <c r="BG7" s="152">
        <v>1</v>
      </c>
      <c r="BH7" s="152">
        <v>4</v>
      </c>
      <c r="BI7" s="152">
        <v>6</v>
      </c>
      <c r="BJ7" s="152">
        <v>7</v>
      </c>
      <c r="BK7" s="152">
        <v>5</v>
      </c>
      <c r="BL7" s="152">
        <v>1</v>
      </c>
      <c r="BM7" s="152">
        <v>0</v>
      </c>
      <c r="BN7" s="152">
        <v>0</v>
      </c>
      <c r="BO7" s="152"/>
      <c r="BP7" s="152">
        <v>2</v>
      </c>
      <c r="BQ7" s="152">
        <v>0</v>
      </c>
      <c r="BR7" s="152">
        <v>3</v>
      </c>
      <c r="BS7" s="152">
        <v>0</v>
      </c>
      <c r="BT7" s="151">
        <v>46</v>
      </c>
    </row>
    <row r="8" spans="1:72" x14ac:dyDescent="0.2">
      <c r="A8" s="3">
        <v>17</v>
      </c>
      <c r="B8" s="151"/>
      <c r="C8" s="151">
        <v>4</v>
      </c>
      <c r="D8" s="151">
        <v>3</v>
      </c>
      <c r="E8" s="151">
        <v>7</v>
      </c>
      <c r="F8" s="151">
        <v>8</v>
      </c>
      <c r="G8" s="151">
        <v>2</v>
      </c>
      <c r="H8" s="151">
        <v>1</v>
      </c>
      <c r="I8" s="151">
        <v>2</v>
      </c>
      <c r="J8" s="151">
        <v>2</v>
      </c>
      <c r="K8" s="151"/>
      <c r="L8" s="151">
        <v>1</v>
      </c>
      <c r="M8" s="151">
        <v>2</v>
      </c>
      <c r="N8" s="151">
        <v>1</v>
      </c>
      <c r="O8" s="151">
        <v>3</v>
      </c>
      <c r="P8" s="151">
        <v>4</v>
      </c>
      <c r="Q8" s="151"/>
      <c r="R8" s="151">
        <v>2</v>
      </c>
      <c r="S8" s="151"/>
      <c r="T8" s="151">
        <v>1</v>
      </c>
      <c r="U8" s="151"/>
      <c r="V8" s="151"/>
      <c r="W8" s="151"/>
      <c r="X8" s="151"/>
      <c r="Y8" s="151"/>
      <c r="Z8" s="151"/>
      <c r="AA8" s="151">
        <v>1</v>
      </c>
      <c r="AB8" s="151"/>
      <c r="AC8" s="151"/>
      <c r="AD8" s="151">
        <v>1</v>
      </c>
      <c r="AE8" s="151">
        <v>1</v>
      </c>
      <c r="AF8" s="151">
        <v>46</v>
      </c>
      <c r="AH8" s="3">
        <v>17</v>
      </c>
      <c r="AI8" s="151">
        <v>1</v>
      </c>
      <c r="AJ8" s="151">
        <v>1</v>
      </c>
      <c r="AK8" s="151"/>
      <c r="AL8" s="151">
        <v>11</v>
      </c>
      <c r="AM8" s="151">
        <v>2</v>
      </c>
      <c r="AN8" s="151">
        <v>3</v>
      </c>
      <c r="AO8" s="151">
        <v>7</v>
      </c>
      <c r="AP8" s="151">
        <v>1</v>
      </c>
      <c r="AQ8" s="151"/>
      <c r="AR8" s="151">
        <v>1</v>
      </c>
      <c r="AS8" s="151">
        <v>2</v>
      </c>
      <c r="AT8" s="151">
        <v>5</v>
      </c>
      <c r="AU8" s="151">
        <v>1</v>
      </c>
      <c r="AV8" s="151">
        <v>1</v>
      </c>
      <c r="AW8" s="151">
        <v>6</v>
      </c>
      <c r="AX8" s="151">
        <v>3</v>
      </c>
      <c r="AY8" s="151">
        <v>1</v>
      </c>
      <c r="AZ8" s="151">
        <v>46</v>
      </c>
      <c r="BB8" s="3">
        <v>17</v>
      </c>
      <c r="BC8" s="152">
        <v>0</v>
      </c>
      <c r="BD8" s="152">
        <v>0</v>
      </c>
      <c r="BE8" s="152"/>
      <c r="BF8" s="152">
        <v>27</v>
      </c>
      <c r="BG8" s="152">
        <v>0</v>
      </c>
      <c r="BH8" s="152">
        <v>0</v>
      </c>
      <c r="BI8" s="152">
        <v>4</v>
      </c>
      <c r="BJ8" s="152">
        <v>0</v>
      </c>
      <c r="BK8" s="152"/>
      <c r="BL8" s="152">
        <v>7</v>
      </c>
      <c r="BM8" s="152">
        <v>0</v>
      </c>
      <c r="BN8" s="152">
        <v>4</v>
      </c>
      <c r="BO8" s="152">
        <v>0</v>
      </c>
      <c r="BP8" s="152">
        <v>1</v>
      </c>
      <c r="BQ8" s="152">
        <v>18</v>
      </c>
      <c r="BR8" s="152">
        <v>1</v>
      </c>
      <c r="BS8" s="152">
        <v>1</v>
      </c>
      <c r="BT8" s="151">
        <v>63</v>
      </c>
    </row>
    <row r="9" spans="1:72" x14ac:dyDescent="0.2">
      <c r="A9" s="3">
        <v>18</v>
      </c>
      <c r="B9" s="151"/>
      <c r="C9" s="151">
        <v>7</v>
      </c>
      <c r="D9" s="151">
        <v>3</v>
      </c>
      <c r="E9" s="151">
        <v>2</v>
      </c>
      <c r="F9" s="151">
        <v>3</v>
      </c>
      <c r="G9" s="151">
        <v>1</v>
      </c>
      <c r="H9" s="151"/>
      <c r="I9" s="151">
        <v>2</v>
      </c>
      <c r="J9" s="151">
        <v>1</v>
      </c>
      <c r="K9" s="151">
        <v>2</v>
      </c>
      <c r="L9" s="151">
        <v>3</v>
      </c>
      <c r="M9" s="151">
        <v>2</v>
      </c>
      <c r="N9" s="151">
        <v>1</v>
      </c>
      <c r="O9" s="151">
        <v>6</v>
      </c>
      <c r="P9" s="151"/>
      <c r="Q9" s="151">
        <v>3</v>
      </c>
      <c r="R9" s="151">
        <v>1</v>
      </c>
      <c r="S9" s="151"/>
      <c r="T9" s="151">
        <v>1</v>
      </c>
      <c r="U9" s="151">
        <v>1</v>
      </c>
      <c r="V9" s="151"/>
      <c r="W9" s="151">
        <v>3</v>
      </c>
      <c r="X9" s="151">
        <v>1</v>
      </c>
      <c r="Y9" s="151"/>
      <c r="Z9" s="151"/>
      <c r="AA9" s="151"/>
      <c r="AB9" s="151"/>
      <c r="AC9" s="151">
        <v>3</v>
      </c>
      <c r="AD9" s="151">
        <v>1</v>
      </c>
      <c r="AE9" s="151"/>
      <c r="AF9" s="151">
        <v>47</v>
      </c>
      <c r="AH9" s="3">
        <v>18</v>
      </c>
      <c r="AI9" s="151">
        <v>7</v>
      </c>
      <c r="AJ9" s="151">
        <v>3</v>
      </c>
      <c r="AK9" s="151">
        <v>1</v>
      </c>
      <c r="AL9" s="151">
        <v>1</v>
      </c>
      <c r="AM9" s="151">
        <v>8</v>
      </c>
      <c r="AN9" s="151"/>
      <c r="AO9" s="151">
        <v>1</v>
      </c>
      <c r="AP9" s="151">
        <v>4</v>
      </c>
      <c r="AQ9" s="151">
        <v>2</v>
      </c>
      <c r="AR9" s="151"/>
      <c r="AS9" s="151">
        <v>1</v>
      </c>
      <c r="AT9" s="151">
        <v>1</v>
      </c>
      <c r="AU9" s="151">
        <v>8</v>
      </c>
      <c r="AV9" s="151"/>
      <c r="AW9" s="151">
        <v>3</v>
      </c>
      <c r="AX9" s="151">
        <v>6</v>
      </c>
      <c r="AY9" s="151">
        <v>1</v>
      </c>
      <c r="AZ9" s="151">
        <v>47</v>
      </c>
      <c r="BB9" s="3">
        <v>18</v>
      </c>
      <c r="BC9" s="152">
        <v>31</v>
      </c>
      <c r="BD9" s="152">
        <v>3</v>
      </c>
      <c r="BE9" s="152">
        <v>1</v>
      </c>
      <c r="BF9" s="152">
        <v>2</v>
      </c>
      <c r="BG9" s="152">
        <v>49</v>
      </c>
      <c r="BH9" s="152"/>
      <c r="BI9" s="152">
        <v>0</v>
      </c>
      <c r="BJ9" s="152">
        <v>3</v>
      </c>
      <c r="BK9" s="152">
        <v>5</v>
      </c>
      <c r="BL9" s="152"/>
      <c r="BM9" s="152">
        <v>1</v>
      </c>
      <c r="BN9" s="152">
        <v>0</v>
      </c>
      <c r="BO9" s="152">
        <v>4</v>
      </c>
      <c r="BP9" s="152"/>
      <c r="BQ9" s="152">
        <v>4</v>
      </c>
      <c r="BR9" s="152">
        <v>1</v>
      </c>
      <c r="BS9" s="152">
        <v>0</v>
      </c>
      <c r="BT9" s="151">
        <v>104</v>
      </c>
    </row>
    <row r="10" spans="1:72" x14ac:dyDescent="0.2">
      <c r="A10" s="3">
        <v>19</v>
      </c>
      <c r="B10" s="151">
        <v>1</v>
      </c>
      <c r="C10" s="151">
        <v>3</v>
      </c>
      <c r="D10" s="151">
        <v>2</v>
      </c>
      <c r="E10" s="151">
        <v>2</v>
      </c>
      <c r="F10" s="151">
        <v>11</v>
      </c>
      <c r="G10" s="151"/>
      <c r="H10" s="151">
        <v>1</v>
      </c>
      <c r="I10" s="151">
        <v>2</v>
      </c>
      <c r="J10" s="151">
        <v>4</v>
      </c>
      <c r="K10" s="151"/>
      <c r="L10" s="151"/>
      <c r="M10" s="151">
        <v>2</v>
      </c>
      <c r="N10" s="151">
        <v>1</v>
      </c>
      <c r="O10" s="151">
        <v>1</v>
      </c>
      <c r="P10" s="151"/>
      <c r="Q10" s="151">
        <v>1</v>
      </c>
      <c r="R10" s="151">
        <v>1</v>
      </c>
      <c r="S10" s="151">
        <v>3</v>
      </c>
      <c r="T10" s="151"/>
      <c r="U10" s="151">
        <v>1</v>
      </c>
      <c r="V10" s="151"/>
      <c r="W10" s="151">
        <v>2</v>
      </c>
      <c r="X10" s="151">
        <v>1</v>
      </c>
      <c r="Y10" s="151"/>
      <c r="Z10" s="151">
        <v>1</v>
      </c>
      <c r="AA10" s="151"/>
      <c r="AB10" s="151"/>
      <c r="AC10" s="151"/>
      <c r="AD10" s="151"/>
      <c r="AE10" s="151"/>
      <c r="AF10" s="151">
        <v>40</v>
      </c>
      <c r="AH10" s="3">
        <v>19</v>
      </c>
      <c r="AI10" s="151">
        <v>4</v>
      </c>
      <c r="AJ10" s="151">
        <v>7</v>
      </c>
      <c r="AK10" s="151"/>
      <c r="AL10" s="151"/>
      <c r="AM10" s="151">
        <v>1</v>
      </c>
      <c r="AN10" s="151">
        <v>7</v>
      </c>
      <c r="AO10" s="151"/>
      <c r="AP10" s="151">
        <v>2</v>
      </c>
      <c r="AQ10" s="151">
        <v>2</v>
      </c>
      <c r="AR10" s="151">
        <v>1</v>
      </c>
      <c r="AS10" s="151">
        <v>3</v>
      </c>
      <c r="AT10" s="151">
        <v>1</v>
      </c>
      <c r="AU10" s="151">
        <v>1</v>
      </c>
      <c r="AV10" s="151">
        <v>3</v>
      </c>
      <c r="AW10" s="151">
        <v>1</v>
      </c>
      <c r="AX10" s="151">
        <v>2</v>
      </c>
      <c r="AY10" s="151">
        <v>5</v>
      </c>
      <c r="AZ10" s="151">
        <v>40</v>
      </c>
      <c r="BB10" s="3">
        <v>19</v>
      </c>
      <c r="BC10" s="152">
        <v>1</v>
      </c>
      <c r="BD10" s="152">
        <v>14</v>
      </c>
      <c r="BE10" s="152"/>
      <c r="BF10" s="152"/>
      <c r="BG10" s="152">
        <v>1</v>
      </c>
      <c r="BH10" s="152">
        <v>75</v>
      </c>
      <c r="BI10" s="152"/>
      <c r="BJ10" s="152">
        <v>0</v>
      </c>
      <c r="BK10" s="152">
        <v>0</v>
      </c>
      <c r="BL10" s="152">
        <v>0</v>
      </c>
      <c r="BM10" s="152">
        <v>1</v>
      </c>
      <c r="BN10" s="152">
        <v>3</v>
      </c>
      <c r="BO10" s="152">
        <v>0</v>
      </c>
      <c r="BP10" s="152">
        <v>0</v>
      </c>
      <c r="BQ10" s="152">
        <v>0</v>
      </c>
      <c r="BR10" s="152">
        <v>0</v>
      </c>
      <c r="BS10" s="152">
        <v>3</v>
      </c>
      <c r="BT10" s="151">
        <v>98</v>
      </c>
    </row>
    <row r="11" spans="1:72" x14ac:dyDescent="0.2">
      <c r="A11" s="3">
        <v>20</v>
      </c>
      <c r="B11" s="151"/>
      <c r="C11" s="151">
        <v>1</v>
      </c>
      <c r="D11" s="151">
        <v>4</v>
      </c>
      <c r="E11" s="151">
        <v>1</v>
      </c>
      <c r="F11" s="151">
        <v>4</v>
      </c>
      <c r="G11" s="151">
        <v>1</v>
      </c>
      <c r="H11" s="151"/>
      <c r="I11" s="151">
        <v>1</v>
      </c>
      <c r="J11" s="151">
        <v>2</v>
      </c>
      <c r="K11" s="151">
        <v>3</v>
      </c>
      <c r="L11" s="151">
        <v>1</v>
      </c>
      <c r="M11" s="151">
        <v>2</v>
      </c>
      <c r="N11" s="151"/>
      <c r="O11" s="151">
        <v>1</v>
      </c>
      <c r="P11" s="151">
        <v>6</v>
      </c>
      <c r="Q11" s="151"/>
      <c r="R11" s="151"/>
      <c r="S11" s="151">
        <v>2</v>
      </c>
      <c r="T11" s="151"/>
      <c r="U11" s="151">
        <v>1</v>
      </c>
      <c r="V11" s="151"/>
      <c r="W11" s="151"/>
      <c r="X11" s="151"/>
      <c r="Y11" s="151"/>
      <c r="Z11" s="151">
        <v>1</v>
      </c>
      <c r="AA11" s="151"/>
      <c r="AB11" s="151"/>
      <c r="AC11" s="151"/>
      <c r="AD11" s="151"/>
      <c r="AE11" s="151">
        <v>1</v>
      </c>
      <c r="AF11" s="151">
        <v>32</v>
      </c>
      <c r="AH11" s="3">
        <v>20</v>
      </c>
      <c r="AI11" s="151">
        <v>4</v>
      </c>
      <c r="AJ11" s="151">
        <v>3</v>
      </c>
      <c r="AK11" s="151">
        <v>1</v>
      </c>
      <c r="AL11" s="151"/>
      <c r="AM11" s="151">
        <v>1</v>
      </c>
      <c r="AN11" s="151">
        <v>1</v>
      </c>
      <c r="AO11" s="151">
        <v>8</v>
      </c>
      <c r="AP11" s="151"/>
      <c r="AQ11" s="151">
        <v>1</v>
      </c>
      <c r="AR11" s="151"/>
      <c r="AS11" s="151"/>
      <c r="AT11" s="151">
        <v>5</v>
      </c>
      <c r="AU11" s="151">
        <v>3</v>
      </c>
      <c r="AV11" s="151">
        <v>2</v>
      </c>
      <c r="AW11" s="151"/>
      <c r="AX11" s="151">
        <v>2</v>
      </c>
      <c r="AY11" s="151">
        <v>1</v>
      </c>
      <c r="AZ11" s="151">
        <v>32</v>
      </c>
      <c r="BB11" s="3">
        <v>20</v>
      </c>
      <c r="BC11" s="152">
        <v>5</v>
      </c>
      <c r="BD11" s="152">
        <v>4</v>
      </c>
      <c r="BE11" s="152">
        <v>1</v>
      </c>
      <c r="BF11" s="152"/>
      <c r="BG11" s="152">
        <v>0</v>
      </c>
      <c r="BH11" s="152">
        <v>0</v>
      </c>
      <c r="BI11" s="152">
        <v>27</v>
      </c>
      <c r="BJ11" s="152"/>
      <c r="BK11" s="152">
        <v>2</v>
      </c>
      <c r="BL11" s="152"/>
      <c r="BM11" s="152"/>
      <c r="BN11" s="152">
        <v>10</v>
      </c>
      <c r="BO11" s="152">
        <v>12</v>
      </c>
      <c r="BP11" s="152">
        <v>4</v>
      </c>
      <c r="BQ11" s="152"/>
      <c r="BR11" s="152">
        <v>1</v>
      </c>
      <c r="BS11" s="152">
        <v>0</v>
      </c>
      <c r="BT11" s="151">
        <v>66</v>
      </c>
    </row>
    <row r="12" spans="1:72" x14ac:dyDescent="0.2">
      <c r="A12" s="3">
        <v>21</v>
      </c>
      <c r="B12" s="151"/>
      <c r="C12" s="151">
        <v>3</v>
      </c>
      <c r="D12" s="151">
        <v>1</v>
      </c>
      <c r="E12" s="151">
        <v>1</v>
      </c>
      <c r="F12" s="151">
        <v>3</v>
      </c>
      <c r="G12" s="151">
        <v>1</v>
      </c>
      <c r="H12" s="151">
        <v>1</v>
      </c>
      <c r="I12" s="151"/>
      <c r="J12" s="151">
        <v>2</v>
      </c>
      <c r="K12" s="151">
        <v>2</v>
      </c>
      <c r="L12" s="151"/>
      <c r="M12" s="151">
        <v>1</v>
      </c>
      <c r="N12" s="151">
        <v>1</v>
      </c>
      <c r="O12" s="151">
        <v>1</v>
      </c>
      <c r="P12" s="151">
        <v>1</v>
      </c>
      <c r="Q12" s="151">
        <v>1</v>
      </c>
      <c r="R12" s="151"/>
      <c r="S12" s="151"/>
      <c r="T12" s="151"/>
      <c r="U12" s="151">
        <v>3</v>
      </c>
      <c r="V12" s="151">
        <v>1</v>
      </c>
      <c r="W12" s="151"/>
      <c r="X12" s="151">
        <v>1</v>
      </c>
      <c r="Y12" s="151"/>
      <c r="Z12" s="151">
        <v>1</v>
      </c>
      <c r="AA12" s="151">
        <v>1</v>
      </c>
      <c r="AB12" s="151">
        <v>2</v>
      </c>
      <c r="AC12" s="151"/>
      <c r="AD12" s="151"/>
      <c r="AE12" s="151"/>
      <c r="AF12" s="151">
        <v>28</v>
      </c>
      <c r="AH12" s="3">
        <v>21</v>
      </c>
      <c r="AI12" s="151">
        <v>4</v>
      </c>
      <c r="AJ12" s="151">
        <v>4</v>
      </c>
      <c r="AK12" s="151">
        <v>1</v>
      </c>
      <c r="AL12" s="151">
        <v>1</v>
      </c>
      <c r="AM12" s="151"/>
      <c r="AN12" s="151"/>
      <c r="AO12" s="151">
        <v>1</v>
      </c>
      <c r="AP12" s="151">
        <v>3</v>
      </c>
      <c r="AQ12" s="151">
        <v>1</v>
      </c>
      <c r="AR12" s="151">
        <v>3</v>
      </c>
      <c r="AS12" s="151">
        <v>1</v>
      </c>
      <c r="AT12" s="151"/>
      <c r="AU12" s="151">
        <v>1</v>
      </c>
      <c r="AV12" s="151">
        <v>3</v>
      </c>
      <c r="AW12" s="151">
        <v>3</v>
      </c>
      <c r="AX12" s="151"/>
      <c r="AY12" s="151">
        <v>2</v>
      </c>
      <c r="AZ12" s="151">
        <v>28</v>
      </c>
      <c r="BB12" s="3">
        <v>21</v>
      </c>
      <c r="BC12" s="152">
        <v>3</v>
      </c>
      <c r="BD12" s="152">
        <v>4</v>
      </c>
      <c r="BE12" s="152">
        <v>0</v>
      </c>
      <c r="BF12" s="152">
        <v>1</v>
      </c>
      <c r="BG12" s="152"/>
      <c r="BH12" s="152"/>
      <c r="BI12" s="152">
        <v>2</v>
      </c>
      <c r="BJ12" s="152">
        <v>0</v>
      </c>
      <c r="BK12" s="152">
        <v>0</v>
      </c>
      <c r="BL12" s="152">
        <v>13</v>
      </c>
      <c r="BM12" s="152">
        <v>0</v>
      </c>
      <c r="BN12" s="152"/>
      <c r="BO12" s="152">
        <v>1</v>
      </c>
      <c r="BP12" s="152">
        <v>16</v>
      </c>
      <c r="BQ12" s="152">
        <v>10</v>
      </c>
      <c r="BR12" s="152"/>
      <c r="BS12" s="152">
        <v>4</v>
      </c>
      <c r="BT12" s="151">
        <v>54</v>
      </c>
    </row>
    <row r="13" spans="1:72" x14ac:dyDescent="0.2">
      <c r="A13" s="3">
        <v>22</v>
      </c>
      <c r="B13" s="151"/>
      <c r="C13" s="151"/>
      <c r="D13" s="151"/>
      <c r="E13" s="151">
        <v>2</v>
      </c>
      <c r="F13" s="151"/>
      <c r="G13" s="151"/>
      <c r="H13" s="151">
        <v>2</v>
      </c>
      <c r="I13" s="151"/>
      <c r="J13" s="151"/>
      <c r="K13" s="151"/>
      <c r="L13" s="151">
        <v>5</v>
      </c>
      <c r="M13" s="151">
        <v>1</v>
      </c>
      <c r="N13" s="151">
        <v>2</v>
      </c>
      <c r="O13" s="151">
        <v>2</v>
      </c>
      <c r="P13" s="151">
        <v>1</v>
      </c>
      <c r="Q13" s="151"/>
      <c r="R13" s="151"/>
      <c r="S13" s="151">
        <v>2</v>
      </c>
      <c r="T13" s="151">
        <v>1</v>
      </c>
      <c r="U13" s="151"/>
      <c r="V13" s="151">
        <v>1</v>
      </c>
      <c r="W13" s="151">
        <v>2</v>
      </c>
      <c r="X13" s="151"/>
      <c r="Y13" s="151"/>
      <c r="Z13" s="151"/>
      <c r="AA13" s="151"/>
      <c r="AB13" s="151"/>
      <c r="AC13" s="151"/>
      <c r="AD13" s="151">
        <v>1</v>
      </c>
      <c r="AE13" s="151"/>
      <c r="AF13" s="151">
        <v>22</v>
      </c>
      <c r="AH13" s="3">
        <v>22</v>
      </c>
      <c r="AI13" s="151"/>
      <c r="AJ13" s="151">
        <v>2</v>
      </c>
      <c r="AK13" s="151">
        <v>1</v>
      </c>
      <c r="AL13" s="151">
        <v>1</v>
      </c>
      <c r="AM13" s="151">
        <v>1</v>
      </c>
      <c r="AN13" s="151"/>
      <c r="AO13" s="151">
        <v>1</v>
      </c>
      <c r="AP13" s="151">
        <v>1</v>
      </c>
      <c r="AQ13" s="151">
        <v>3</v>
      </c>
      <c r="AR13" s="151"/>
      <c r="AS13" s="151">
        <v>2</v>
      </c>
      <c r="AT13" s="151">
        <v>2</v>
      </c>
      <c r="AU13" s="151">
        <v>1</v>
      </c>
      <c r="AV13" s="151">
        <v>2</v>
      </c>
      <c r="AW13" s="151">
        <v>4</v>
      </c>
      <c r="AX13" s="151">
        <v>1</v>
      </c>
      <c r="AY13" s="151"/>
      <c r="AZ13" s="151">
        <v>22</v>
      </c>
      <c r="BB13" s="3">
        <v>22</v>
      </c>
      <c r="BC13" s="152"/>
      <c r="BD13" s="152">
        <v>4</v>
      </c>
      <c r="BE13" s="152">
        <v>0</v>
      </c>
      <c r="BF13" s="152">
        <v>0</v>
      </c>
      <c r="BG13" s="152">
        <v>5</v>
      </c>
      <c r="BH13" s="152"/>
      <c r="BI13" s="152">
        <v>5</v>
      </c>
      <c r="BJ13" s="152">
        <v>1</v>
      </c>
      <c r="BK13" s="152">
        <v>5</v>
      </c>
      <c r="BL13" s="152"/>
      <c r="BM13" s="152">
        <v>0</v>
      </c>
      <c r="BN13" s="152">
        <v>0</v>
      </c>
      <c r="BO13" s="152">
        <v>4</v>
      </c>
      <c r="BP13" s="152">
        <v>1</v>
      </c>
      <c r="BQ13" s="152">
        <v>14</v>
      </c>
      <c r="BR13" s="152">
        <v>1</v>
      </c>
      <c r="BS13" s="152"/>
      <c r="BT13" s="151">
        <v>40</v>
      </c>
    </row>
    <row r="14" spans="1:72" x14ac:dyDescent="0.2">
      <c r="A14" s="3">
        <v>23</v>
      </c>
      <c r="B14" s="151"/>
      <c r="C14" s="151">
        <v>1</v>
      </c>
      <c r="D14" s="151"/>
      <c r="E14" s="151"/>
      <c r="F14" s="151">
        <v>1</v>
      </c>
      <c r="G14" s="151">
        <v>2</v>
      </c>
      <c r="H14" s="151"/>
      <c r="I14" s="151"/>
      <c r="J14" s="151">
        <v>1</v>
      </c>
      <c r="K14" s="151">
        <v>1</v>
      </c>
      <c r="L14" s="151">
        <v>2</v>
      </c>
      <c r="M14" s="151">
        <v>3</v>
      </c>
      <c r="N14" s="151"/>
      <c r="O14" s="151"/>
      <c r="P14" s="151">
        <v>1</v>
      </c>
      <c r="Q14" s="151"/>
      <c r="R14" s="151"/>
      <c r="S14" s="151">
        <v>2</v>
      </c>
      <c r="T14" s="151"/>
      <c r="U14" s="151"/>
      <c r="V14" s="151"/>
      <c r="W14" s="151">
        <v>1</v>
      </c>
      <c r="X14" s="151"/>
      <c r="Y14" s="151"/>
      <c r="Z14" s="151"/>
      <c r="AA14" s="151">
        <v>2</v>
      </c>
      <c r="AB14" s="151"/>
      <c r="AC14" s="151"/>
      <c r="AD14" s="151"/>
      <c r="AE14" s="151"/>
      <c r="AF14" s="151">
        <v>17</v>
      </c>
      <c r="AH14" s="3">
        <v>23</v>
      </c>
      <c r="AI14" s="151"/>
      <c r="AJ14" s="151"/>
      <c r="AK14" s="151"/>
      <c r="AL14" s="151">
        <v>1</v>
      </c>
      <c r="AM14" s="151">
        <v>1</v>
      </c>
      <c r="AN14" s="151">
        <v>1</v>
      </c>
      <c r="AO14" s="151">
        <v>1</v>
      </c>
      <c r="AP14" s="151">
        <v>2</v>
      </c>
      <c r="AQ14" s="151">
        <v>2</v>
      </c>
      <c r="AR14" s="151">
        <v>3</v>
      </c>
      <c r="AS14" s="151">
        <v>1</v>
      </c>
      <c r="AT14" s="151"/>
      <c r="AU14" s="151">
        <v>1</v>
      </c>
      <c r="AV14" s="151"/>
      <c r="AW14" s="151">
        <v>3</v>
      </c>
      <c r="AX14" s="151"/>
      <c r="AY14" s="151">
        <v>1</v>
      </c>
      <c r="AZ14" s="151">
        <v>17</v>
      </c>
      <c r="BB14" s="3">
        <v>23</v>
      </c>
      <c r="BC14" s="152"/>
      <c r="BD14" s="152"/>
      <c r="BE14" s="152"/>
      <c r="BF14" s="152">
        <v>0</v>
      </c>
      <c r="BG14" s="152">
        <v>0</v>
      </c>
      <c r="BH14" s="152">
        <v>3</v>
      </c>
      <c r="BI14" s="152">
        <v>0</v>
      </c>
      <c r="BJ14" s="152">
        <v>1</v>
      </c>
      <c r="BK14" s="152">
        <v>4</v>
      </c>
      <c r="BL14" s="152">
        <v>7</v>
      </c>
      <c r="BM14" s="152">
        <v>0</v>
      </c>
      <c r="BN14" s="152"/>
      <c r="BO14" s="152">
        <v>0</v>
      </c>
      <c r="BP14" s="152"/>
      <c r="BQ14" s="152">
        <v>13</v>
      </c>
      <c r="BR14" s="152"/>
      <c r="BS14" s="152">
        <v>1</v>
      </c>
      <c r="BT14" s="151">
        <v>29</v>
      </c>
    </row>
    <row r="15" spans="1:72" x14ac:dyDescent="0.2">
      <c r="A15" s="3">
        <v>24</v>
      </c>
      <c r="B15" s="151">
        <v>2</v>
      </c>
      <c r="C15" s="151">
        <v>2</v>
      </c>
      <c r="D15" s="151"/>
      <c r="E15" s="151">
        <v>2</v>
      </c>
      <c r="F15" s="151">
        <v>2</v>
      </c>
      <c r="G15" s="151"/>
      <c r="H15" s="151">
        <v>1</v>
      </c>
      <c r="I15" s="151">
        <v>1</v>
      </c>
      <c r="J15" s="151">
        <v>1</v>
      </c>
      <c r="K15" s="151">
        <v>2</v>
      </c>
      <c r="L15" s="151">
        <v>1</v>
      </c>
      <c r="M15" s="151">
        <v>5</v>
      </c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>
        <v>1</v>
      </c>
      <c r="AC15" s="151"/>
      <c r="AD15" s="151"/>
      <c r="AE15" s="151"/>
      <c r="AF15" s="151">
        <v>20</v>
      </c>
      <c r="AH15" s="3">
        <v>24</v>
      </c>
      <c r="AI15" s="151"/>
      <c r="AJ15" s="151"/>
      <c r="AK15" s="151"/>
      <c r="AL15" s="151"/>
      <c r="AM15" s="151">
        <v>1</v>
      </c>
      <c r="AN15" s="151">
        <v>1</v>
      </c>
      <c r="AO15" s="151">
        <v>1</v>
      </c>
      <c r="AP15" s="151">
        <v>1</v>
      </c>
      <c r="AQ15" s="151">
        <v>1</v>
      </c>
      <c r="AR15" s="151">
        <v>1</v>
      </c>
      <c r="AS15" s="151">
        <v>3</v>
      </c>
      <c r="AT15" s="151">
        <v>3</v>
      </c>
      <c r="AU15" s="151"/>
      <c r="AV15" s="151">
        <v>3</v>
      </c>
      <c r="AW15" s="151"/>
      <c r="AX15" s="151"/>
      <c r="AY15" s="151">
        <v>5</v>
      </c>
      <c r="AZ15" s="151">
        <v>20</v>
      </c>
      <c r="BB15" s="3">
        <v>24</v>
      </c>
      <c r="BC15" s="152"/>
      <c r="BD15" s="152"/>
      <c r="BE15" s="152"/>
      <c r="BF15" s="152"/>
      <c r="BG15" s="152">
        <v>1</v>
      </c>
      <c r="BH15" s="152">
        <v>0</v>
      </c>
      <c r="BI15" s="152">
        <v>1</v>
      </c>
      <c r="BJ15" s="152">
        <v>0</v>
      </c>
      <c r="BK15" s="152">
        <v>0</v>
      </c>
      <c r="BL15" s="152">
        <v>1</v>
      </c>
      <c r="BM15" s="152">
        <v>0</v>
      </c>
      <c r="BN15" s="152">
        <v>6</v>
      </c>
      <c r="BO15" s="152"/>
      <c r="BP15" s="152">
        <v>0</v>
      </c>
      <c r="BQ15" s="152"/>
      <c r="BR15" s="152"/>
      <c r="BS15" s="152">
        <v>8</v>
      </c>
      <c r="BT15" s="151">
        <v>17</v>
      </c>
    </row>
    <row r="16" spans="1:72" x14ac:dyDescent="0.2">
      <c r="A16" s="3">
        <v>25</v>
      </c>
      <c r="B16" s="151"/>
      <c r="C16" s="151"/>
      <c r="D16" s="151"/>
      <c r="E16" s="151"/>
      <c r="F16" s="151">
        <v>1</v>
      </c>
      <c r="G16" s="151"/>
      <c r="H16" s="151"/>
      <c r="I16" s="151"/>
      <c r="J16" s="151"/>
      <c r="K16" s="151">
        <v>2</v>
      </c>
      <c r="L16" s="151"/>
      <c r="M16" s="151">
        <v>1</v>
      </c>
      <c r="N16" s="151"/>
      <c r="O16" s="151"/>
      <c r="P16" s="151"/>
      <c r="Q16" s="151">
        <v>1</v>
      </c>
      <c r="R16" s="151"/>
      <c r="S16" s="151"/>
      <c r="T16" s="151"/>
      <c r="U16" s="151"/>
      <c r="V16" s="151">
        <v>1</v>
      </c>
      <c r="W16" s="151">
        <v>1</v>
      </c>
      <c r="X16" s="151"/>
      <c r="Y16" s="151">
        <v>1</v>
      </c>
      <c r="Z16" s="151"/>
      <c r="AA16" s="151">
        <v>1</v>
      </c>
      <c r="AB16" s="151"/>
      <c r="AC16" s="151"/>
      <c r="AD16" s="151">
        <v>1</v>
      </c>
      <c r="AE16" s="151"/>
      <c r="AF16" s="151">
        <v>10</v>
      </c>
      <c r="AH16" s="3">
        <v>25</v>
      </c>
      <c r="AI16" s="151"/>
      <c r="AJ16" s="151"/>
      <c r="AK16" s="151"/>
      <c r="AL16" s="151"/>
      <c r="AM16" s="151"/>
      <c r="AN16" s="151"/>
      <c r="AO16" s="151"/>
      <c r="AP16" s="151">
        <v>2</v>
      </c>
      <c r="AQ16" s="151"/>
      <c r="AR16" s="151"/>
      <c r="AS16" s="151">
        <v>1</v>
      </c>
      <c r="AT16" s="151">
        <v>2</v>
      </c>
      <c r="AU16" s="151">
        <v>2</v>
      </c>
      <c r="AV16" s="151"/>
      <c r="AW16" s="151">
        <v>3</v>
      </c>
      <c r="AX16" s="151"/>
      <c r="AY16" s="151"/>
      <c r="AZ16" s="151">
        <v>10</v>
      </c>
      <c r="BB16" s="3">
        <v>25</v>
      </c>
      <c r="BC16" s="152"/>
      <c r="BD16" s="152"/>
      <c r="BE16" s="152"/>
      <c r="BF16" s="152"/>
      <c r="BG16" s="152"/>
      <c r="BH16" s="152"/>
      <c r="BI16" s="152"/>
      <c r="BJ16" s="152">
        <v>21</v>
      </c>
      <c r="BK16" s="152"/>
      <c r="BL16" s="152"/>
      <c r="BM16" s="152">
        <v>0</v>
      </c>
      <c r="BN16" s="152">
        <v>0</v>
      </c>
      <c r="BO16" s="152">
        <v>22</v>
      </c>
      <c r="BP16" s="152"/>
      <c r="BQ16" s="152">
        <v>16</v>
      </c>
      <c r="BR16" s="152"/>
      <c r="BS16" s="152"/>
      <c r="BT16" s="151">
        <v>59</v>
      </c>
    </row>
    <row r="17" spans="1:72" x14ac:dyDescent="0.2">
      <c r="A17" s="3">
        <v>26</v>
      </c>
      <c r="B17" s="151"/>
      <c r="C17" s="151"/>
      <c r="D17" s="151"/>
      <c r="E17" s="151">
        <v>1</v>
      </c>
      <c r="F17" s="151"/>
      <c r="G17" s="151"/>
      <c r="H17" s="151"/>
      <c r="I17" s="151"/>
      <c r="J17" s="151"/>
      <c r="K17" s="151"/>
      <c r="L17" s="151"/>
      <c r="M17" s="151">
        <v>1</v>
      </c>
      <c r="N17" s="151"/>
      <c r="O17" s="151"/>
      <c r="P17" s="151">
        <v>1</v>
      </c>
      <c r="Q17" s="151"/>
      <c r="R17" s="151">
        <v>1</v>
      </c>
      <c r="S17" s="151"/>
      <c r="T17" s="151"/>
      <c r="U17" s="151"/>
      <c r="V17" s="151"/>
      <c r="W17" s="151">
        <v>2</v>
      </c>
      <c r="X17" s="151"/>
      <c r="Y17" s="151">
        <v>1</v>
      </c>
      <c r="Z17" s="151"/>
      <c r="AA17" s="151"/>
      <c r="AB17" s="151"/>
      <c r="AC17" s="151"/>
      <c r="AD17" s="151"/>
      <c r="AE17" s="151">
        <v>1</v>
      </c>
      <c r="AF17" s="151">
        <v>8</v>
      </c>
      <c r="AH17" s="3">
        <v>26</v>
      </c>
      <c r="AI17" s="151"/>
      <c r="AJ17" s="151"/>
      <c r="AK17" s="151"/>
      <c r="AL17" s="151"/>
      <c r="AM17" s="151"/>
      <c r="AN17" s="151"/>
      <c r="AO17" s="151"/>
      <c r="AP17" s="151">
        <v>1</v>
      </c>
      <c r="AQ17" s="151">
        <v>1</v>
      </c>
      <c r="AR17" s="151"/>
      <c r="AS17" s="151"/>
      <c r="AT17" s="151">
        <v>1</v>
      </c>
      <c r="AU17" s="151">
        <v>2</v>
      </c>
      <c r="AV17" s="151">
        <v>2</v>
      </c>
      <c r="AW17" s="151"/>
      <c r="AX17" s="151">
        <v>1</v>
      </c>
      <c r="AY17" s="151"/>
      <c r="AZ17" s="151">
        <v>8</v>
      </c>
      <c r="BB17" s="3">
        <v>26</v>
      </c>
      <c r="BC17" s="152"/>
      <c r="BD17" s="152"/>
      <c r="BE17" s="152"/>
      <c r="BF17" s="152"/>
      <c r="BG17" s="152"/>
      <c r="BH17" s="152"/>
      <c r="BI17" s="152"/>
      <c r="BJ17" s="152">
        <v>3</v>
      </c>
      <c r="BK17" s="152">
        <v>8</v>
      </c>
      <c r="BL17" s="152"/>
      <c r="BM17" s="152"/>
      <c r="BN17" s="152">
        <v>1</v>
      </c>
      <c r="BO17" s="152">
        <v>2</v>
      </c>
      <c r="BP17" s="152">
        <v>11</v>
      </c>
      <c r="BQ17" s="152"/>
      <c r="BR17" s="152">
        <v>1</v>
      </c>
      <c r="BS17" s="152"/>
      <c r="BT17" s="151">
        <v>26</v>
      </c>
    </row>
    <row r="18" spans="1:72" x14ac:dyDescent="0.2">
      <c r="A18" s="3">
        <v>27</v>
      </c>
      <c r="B18" s="151"/>
      <c r="C18" s="151"/>
      <c r="D18" s="151"/>
      <c r="E18" s="151">
        <v>1</v>
      </c>
      <c r="F18" s="151">
        <v>1</v>
      </c>
      <c r="G18" s="151"/>
      <c r="H18" s="151"/>
      <c r="I18" s="151"/>
      <c r="J18" s="151"/>
      <c r="K18" s="151"/>
      <c r="L18" s="151"/>
      <c r="M18" s="151"/>
      <c r="N18" s="151"/>
      <c r="O18" s="151">
        <v>1</v>
      </c>
      <c r="P18" s="151">
        <v>1</v>
      </c>
      <c r="Q18" s="151"/>
      <c r="R18" s="151"/>
      <c r="S18" s="151"/>
      <c r="T18" s="151">
        <v>2</v>
      </c>
      <c r="U18" s="151"/>
      <c r="V18" s="151"/>
      <c r="W18" s="151"/>
      <c r="X18" s="151">
        <v>1</v>
      </c>
      <c r="Y18" s="151">
        <v>2</v>
      </c>
      <c r="Z18" s="151"/>
      <c r="AA18" s="151"/>
      <c r="AB18" s="151">
        <v>1</v>
      </c>
      <c r="AC18" s="151"/>
      <c r="AD18" s="151"/>
      <c r="AE18" s="151"/>
      <c r="AF18" s="151">
        <v>10</v>
      </c>
      <c r="AH18" s="3">
        <v>27</v>
      </c>
      <c r="AI18" s="151"/>
      <c r="AJ18" s="151">
        <v>2</v>
      </c>
      <c r="AK18" s="151"/>
      <c r="AL18" s="151"/>
      <c r="AM18" s="151"/>
      <c r="AN18" s="151"/>
      <c r="AO18" s="151"/>
      <c r="AP18" s="151">
        <v>1</v>
      </c>
      <c r="AQ18" s="151">
        <v>2</v>
      </c>
      <c r="AR18" s="151"/>
      <c r="AS18" s="151"/>
      <c r="AT18" s="151"/>
      <c r="AU18" s="151">
        <v>1</v>
      </c>
      <c r="AV18" s="151">
        <v>2</v>
      </c>
      <c r="AW18" s="151">
        <v>1</v>
      </c>
      <c r="AX18" s="151"/>
      <c r="AY18" s="151">
        <v>1</v>
      </c>
      <c r="AZ18" s="151">
        <v>10</v>
      </c>
      <c r="BB18" s="3">
        <v>27</v>
      </c>
      <c r="BC18" s="152"/>
      <c r="BD18" s="152">
        <v>2</v>
      </c>
      <c r="BE18" s="152"/>
      <c r="BF18" s="152"/>
      <c r="BG18" s="152"/>
      <c r="BH18" s="152"/>
      <c r="BI18" s="152"/>
      <c r="BJ18" s="152">
        <v>1</v>
      </c>
      <c r="BK18" s="152">
        <v>13</v>
      </c>
      <c r="BL18" s="152"/>
      <c r="BM18" s="152"/>
      <c r="BN18" s="152"/>
      <c r="BO18" s="152">
        <v>4</v>
      </c>
      <c r="BP18" s="152">
        <v>0</v>
      </c>
      <c r="BQ18" s="152">
        <v>0</v>
      </c>
      <c r="BR18" s="152"/>
      <c r="BS18" s="152">
        <v>0</v>
      </c>
      <c r="BT18" s="151">
        <v>20</v>
      </c>
    </row>
    <row r="19" spans="1:72" x14ac:dyDescent="0.2">
      <c r="A19" s="3">
        <v>28</v>
      </c>
      <c r="B19" s="151"/>
      <c r="C19" s="151"/>
      <c r="D19" s="151"/>
      <c r="E19" s="151"/>
      <c r="F19" s="151"/>
      <c r="G19" s="151"/>
      <c r="H19" s="151"/>
      <c r="I19" s="151"/>
      <c r="J19" s="151">
        <v>1</v>
      </c>
      <c r="K19" s="151">
        <v>1</v>
      </c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>
        <v>1</v>
      </c>
      <c r="X19" s="151"/>
      <c r="Y19" s="151"/>
      <c r="Z19" s="151"/>
      <c r="AA19" s="151">
        <v>1</v>
      </c>
      <c r="AB19" s="151"/>
      <c r="AC19" s="151"/>
      <c r="AD19" s="151"/>
      <c r="AE19" s="151"/>
      <c r="AF19" s="151">
        <v>4</v>
      </c>
      <c r="AH19" s="3">
        <v>28</v>
      </c>
      <c r="AI19" s="151"/>
      <c r="AJ19" s="151"/>
      <c r="AK19" s="151"/>
      <c r="AL19" s="151"/>
      <c r="AM19" s="151"/>
      <c r="AN19" s="151"/>
      <c r="AO19" s="151"/>
      <c r="AP19" s="151"/>
      <c r="AQ19" s="151">
        <v>1</v>
      </c>
      <c r="AR19" s="151">
        <v>2</v>
      </c>
      <c r="AS19" s="151"/>
      <c r="AT19" s="151">
        <v>1</v>
      </c>
      <c r="AU19" s="151"/>
      <c r="AV19" s="151"/>
      <c r="AW19" s="151"/>
      <c r="AX19" s="151"/>
      <c r="AY19" s="151"/>
      <c r="AZ19" s="151">
        <v>4</v>
      </c>
      <c r="BB19" s="3">
        <v>28</v>
      </c>
      <c r="BC19" s="152"/>
      <c r="BD19" s="152"/>
      <c r="BE19" s="152"/>
      <c r="BF19" s="152"/>
      <c r="BG19" s="152"/>
      <c r="BH19" s="152"/>
      <c r="BI19" s="152"/>
      <c r="BJ19" s="152"/>
      <c r="BK19" s="152">
        <v>1</v>
      </c>
      <c r="BL19" s="152">
        <v>24</v>
      </c>
      <c r="BM19" s="152"/>
      <c r="BN19" s="152">
        <v>0</v>
      </c>
      <c r="BO19" s="152"/>
      <c r="BP19" s="152"/>
      <c r="BQ19" s="152"/>
      <c r="BR19" s="152"/>
      <c r="BS19" s="152"/>
      <c r="BT19" s="151">
        <v>25</v>
      </c>
    </row>
    <row r="20" spans="1:72" x14ac:dyDescent="0.2">
      <c r="A20" s="3">
        <v>29</v>
      </c>
      <c r="B20" s="151"/>
      <c r="C20" s="151">
        <v>1</v>
      </c>
      <c r="D20" s="151">
        <v>1</v>
      </c>
      <c r="E20" s="151"/>
      <c r="F20" s="151"/>
      <c r="G20" s="151"/>
      <c r="H20" s="151"/>
      <c r="I20" s="151">
        <v>1</v>
      </c>
      <c r="J20" s="151">
        <v>1</v>
      </c>
      <c r="K20" s="151"/>
      <c r="L20" s="151"/>
      <c r="M20" s="151"/>
      <c r="N20" s="151">
        <v>1</v>
      </c>
      <c r="O20" s="151"/>
      <c r="P20" s="151"/>
      <c r="Q20" s="151"/>
      <c r="R20" s="151"/>
      <c r="S20" s="151">
        <v>2</v>
      </c>
      <c r="T20" s="151"/>
      <c r="U20" s="151"/>
      <c r="V20" s="151"/>
      <c r="W20" s="151"/>
      <c r="X20" s="151"/>
      <c r="Y20" s="151"/>
      <c r="Z20" s="151"/>
      <c r="AA20" s="151">
        <v>1</v>
      </c>
      <c r="AB20" s="151"/>
      <c r="AC20" s="151"/>
      <c r="AD20" s="151"/>
      <c r="AE20" s="151"/>
      <c r="AF20" s="151">
        <v>8</v>
      </c>
      <c r="AH20" s="3">
        <v>29</v>
      </c>
      <c r="AI20" s="151"/>
      <c r="AJ20" s="151"/>
      <c r="AK20" s="151"/>
      <c r="AL20" s="151"/>
      <c r="AM20" s="151"/>
      <c r="AN20" s="151"/>
      <c r="AO20" s="151"/>
      <c r="AP20" s="151"/>
      <c r="AQ20" s="151">
        <v>2</v>
      </c>
      <c r="AR20" s="151">
        <v>1</v>
      </c>
      <c r="AS20" s="151">
        <v>3</v>
      </c>
      <c r="AT20" s="151"/>
      <c r="AU20" s="151">
        <v>1</v>
      </c>
      <c r="AV20" s="151">
        <v>1</v>
      </c>
      <c r="AW20" s="151"/>
      <c r="AX20" s="151"/>
      <c r="AY20" s="151"/>
      <c r="AZ20" s="151">
        <v>8</v>
      </c>
      <c r="BB20" s="3">
        <v>29</v>
      </c>
      <c r="BC20" s="152"/>
      <c r="BD20" s="152"/>
      <c r="BE20" s="152"/>
      <c r="BF20" s="152"/>
      <c r="BG20" s="152"/>
      <c r="BH20" s="152"/>
      <c r="BI20" s="152"/>
      <c r="BJ20" s="152"/>
      <c r="BK20" s="152">
        <v>0</v>
      </c>
      <c r="BL20" s="152">
        <v>13</v>
      </c>
      <c r="BM20" s="152">
        <v>2</v>
      </c>
      <c r="BN20" s="152"/>
      <c r="BO20" s="152">
        <v>0</v>
      </c>
      <c r="BP20" s="152">
        <v>0</v>
      </c>
      <c r="BQ20" s="152"/>
      <c r="BR20" s="152"/>
      <c r="BS20" s="152"/>
      <c r="BT20" s="151">
        <v>15</v>
      </c>
    </row>
    <row r="21" spans="1:72" x14ac:dyDescent="0.2">
      <c r="A21" s="3">
        <v>30</v>
      </c>
      <c r="B21" s="151"/>
      <c r="C21" s="151"/>
      <c r="D21" s="151"/>
      <c r="E21" s="151"/>
      <c r="F21" s="151"/>
      <c r="G21" s="151"/>
      <c r="H21" s="151"/>
      <c r="I21" s="151">
        <v>1</v>
      </c>
      <c r="J21" s="151">
        <v>1</v>
      </c>
      <c r="K21" s="151"/>
      <c r="L21" s="151"/>
      <c r="M21" s="151">
        <v>1</v>
      </c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>
        <v>1</v>
      </c>
      <c r="AA21" s="151"/>
      <c r="AB21" s="151"/>
      <c r="AC21" s="151"/>
      <c r="AD21" s="151"/>
      <c r="AE21" s="151"/>
      <c r="AF21" s="151">
        <v>4</v>
      </c>
      <c r="AH21" s="3">
        <v>30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>
        <v>2</v>
      </c>
      <c r="AS21" s="151"/>
      <c r="AT21" s="151">
        <v>1</v>
      </c>
      <c r="AU21" s="151"/>
      <c r="AV21" s="151">
        <v>1</v>
      </c>
      <c r="AW21" s="151"/>
      <c r="AX21" s="151"/>
      <c r="AY21" s="151"/>
      <c r="AZ21" s="151">
        <v>4</v>
      </c>
      <c r="BB21" s="3">
        <v>30</v>
      </c>
      <c r="BC21" s="152"/>
      <c r="BD21" s="152"/>
      <c r="BE21" s="152"/>
      <c r="BF21" s="152"/>
      <c r="BG21" s="152"/>
      <c r="BH21" s="152"/>
      <c r="BI21" s="152"/>
      <c r="BJ21" s="152"/>
      <c r="BK21" s="152"/>
      <c r="BL21" s="152">
        <v>1</v>
      </c>
      <c r="BM21" s="152"/>
      <c r="BN21" s="152">
        <v>4</v>
      </c>
      <c r="BO21" s="152"/>
      <c r="BP21" s="152">
        <v>0</v>
      </c>
      <c r="BQ21" s="152"/>
      <c r="BR21" s="152"/>
      <c r="BS21" s="152"/>
      <c r="BT21" s="151">
        <v>5</v>
      </c>
    </row>
    <row r="22" spans="1:72" x14ac:dyDescent="0.2">
      <c r="A22" s="3">
        <v>31</v>
      </c>
      <c r="B22" s="151"/>
      <c r="C22" s="151"/>
      <c r="D22" s="151">
        <v>1</v>
      </c>
      <c r="E22" s="151">
        <v>1</v>
      </c>
      <c r="F22" s="151"/>
      <c r="G22" s="151">
        <v>1</v>
      </c>
      <c r="H22" s="151"/>
      <c r="I22" s="151"/>
      <c r="J22" s="151"/>
      <c r="K22" s="151"/>
      <c r="L22" s="151"/>
      <c r="M22" s="151"/>
      <c r="N22" s="151"/>
      <c r="O22" s="151">
        <v>1</v>
      </c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>
        <v>1</v>
      </c>
      <c r="AC22" s="151"/>
      <c r="AD22" s="151">
        <v>1</v>
      </c>
      <c r="AE22" s="151"/>
      <c r="AF22" s="151">
        <v>6</v>
      </c>
      <c r="AH22" s="3">
        <v>31</v>
      </c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>
        <v>1</v>
      </c>
      <c r="AT22" s="151"/>
      <c r="AU22" s="151">
        <v>4</v>
      </c>
      <c r="AV22" s="151"/>
      <c r="AW22" s="151">
        <v>1</v>
      </c>
      <c r="AX22" s="151"/>
      <c r="AY22" s="151"/>
      <c r="AZ22" s="151">
        <v>6</v>
      </c>
      <c r="BB22" s="3">
        <v>31</v>
      </c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>
        <v>0</v>
      </c>
      <c r="BN22" s="152"/>
      <c r="BO22" s="152">
        <v>27</v>
      </c>
      <c r="BP22" s="152"/>
      <c r="BQ22" s="152">
        <v>2</v>
      </c>
      <c r="BR22" s="152"/>
      <c r="BS22" s="152"/>
      <c r="BT22" s="151">
        <v>29</v>
      </c>
    </row>
    <row r="23" spans="1:72" x14ac:dyDescent="0.2">
      <c r="A23" s="3">
        <v>32</v>
      </c>
      <c r="B23" s="151"/>
      <c r="C23" s="151"/>
      <c r="D23" s="151">
        <v>1</v>
      </c>
      <c r="E23" s="151"/>
      <c r="F23" s="151"/>
      <c r="G23" s="151"/>
      <c r="H23" s="151"/>
      <c r="I23" s="151"/>
      <c r="J23" s="151">
        <v>2</v>
      </c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>
        <v>1</v>
      </c>
      <c r="Y23" s="151"/>
      <c r="Z23" s="151"/>
      <c r="AA23" s="151"/>
      <c r="AB23" s="151"/>
      <c r="AC23" s="151"/>
      <c r="AD23" s="151"/>
      <c r="AE23" s="151"/>
      <c r="AF23" s="151">
        <v>4</v>
      </c>
      <c r="AH23" s="3">
        <v>32</v>
      </c>
      <c r="AI23" s="151"/>
      <c r="AJ23" s="151"/>
      <c r="AK23" s="151"/>
      <c r="AL23" s="151"/>
      <c r="AM23" s="151"/>
      <c r="AN23" s="151"/>
      <c r="AO23" s="151"/>
      <c r="AP23" s="151">
        <v>1</v>
      </c>
      <c r="AQ23" s="151"/>
      <c r="AR23" s="151"/>
      <c r="AS23" s="151"/>
      <c r="AT23" s="151"/>
      <c r="AU23" s="151"/>
      <c r="AV23" s="151">
        <v>2</v>
      </c>
      <c r="AW23" s="151"/>
      <c r="AX23" s="151">
        <v>1</v>
      </c>
      <c r="AY23" s="151"/>
      <c r="AZ23" s="151">
        <v>4</v>
      </c>
      <c r="BB23" s="3">
        <v>32</v>
      </c>
      <c r="BC23" s="152"/>
      <c r="BD23" s="152"/>
      <c r="BE23" s="152"/>
      <c r="BF23" s="152"/>
      <c r="BG23" s="152"/>
      <c r="BH23" s="152"/>
      <c r="BI23" s="152"/>
      <c r="BJ23" s="152">
        <v>10</v>
      </c>
      <c r="BK23" s="152"/>
      <c r="BL23" s="152"/>
      <c r="BM23" s="152"/>
      <c r="BN23" s="152"/>
      <c r="BO23" s="152"/>
      <c r="BP23" s="152">
        <v>11</v>
      </c>
      <c r="BQ23" s="152"/>
      <c r="BR23" s="152">
        <v>0</v>
      </c>
      <c r="BS23" s="152"/>
      <c r="BT23" s="151">
        <v>21</v>
      </c>
    </row>
    <row r="24" spans="1:72" x14ac:dyDescent="0.2">
      <c r="A24" s="3">
        <v>33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>
        <v>1</v>
      </c>
      <c r="T24" s="151">
        <v>1</v>
      </c>
      <c r="U24" s="151"/>
      <c r="V24" s="151"/>
      <c r="W24" s="151"/>
      <c r="X24" s="151"/>
      <c r="Y24" s="151"/>
      <c r="Z24" s="151"/>
      <c r="AA24" s="151"/>
      <c r="AB24" s="151">
        <v>1</v>
      </c>
      <c r="AC24" s="151"/>
      <c r="AD24" s="151">
        <v>1</v>
      </c>
      <c r="AE24" s="151"/>
      <c r="AF24" s="151">
        <v>4</v>
      </c>
      <c r="AH24" s="3">
        <v>33</v>
      </c>
      <c r="AI24" s="151"/>
      <c r="AJ24" s="151"/>
      <c r="AK24" s="151"/>
      <c r="AL24" s="151"/>
      <c r="AM24" s="151"/>
      <c r="AN24" s="151"/>
      <c r="AO24" s="151"/>
      <c r="AP24" s="151"/>
      <c r="AQ24" s="151">
        <v>2</v>
      </c>
      <c r="AR24" s="151"/>
      <c r="AS24" s="151"/>
      <c r="AT24" s="151"/>
      <c r="AU24" s="151">
        <v>1</v>
      </c>
      <c r="AV24" s="151"/>
      <c r="AW24" s="151">
        <v>1</v>
      </c>
      <c r="AX24" s="151"/>
      <c r="AY24" s="151"/>
      <c r="AZ24" s="151">
        <v>4</v>
      </c>
      <c r="BB24" s="3">
        <v>33</v>
      </c>
      <c r="BC24" s="152"/>
      <c r="BD24" s="152"/>
      <c r="BE24" s="152"/>
      <c r="BF24" s="152"/>
      <c r="BG24" s="152"/>
      <c r="BH24" s="152"/>
      <c r="BI24" s="152"/>
      <c r="BJ24" s="152"/>
      <c r="BK24" s="152">
        <v>30</v>
      </c>
      <c r="BL24" s="152"/>
      <c r="BM24" s="152"/>
      <c r="BN24" s="152"/>
      <c r="BO24" s="152">
        <v>0</v>
      </c>
      <c r="BP24" s="152"/>
      <c r="BQ24" s="152">
        <v>24</v>
      </c>
      <c r="BR24" s="152"/>
      <c r="BS24" s="152"/>
      <c r="BT24" s="151">
        <v>54</v>
      </c>
    </row>
    <row r="25" spans="1:72" x14ac:dyDescent="0.2">
      <c r="A25" s="3">
        <v>34</v>
      </c>
      <c r="B25" s="151"/>
      <c r="C25" s="151"/>
      <c r="D25" s="151">
        <v>1</v>
      </c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>
        <v>1</v>
      </c>
      <c r="X25" s="151">
        <v>2</v>
      </c>
      <c r="Y25" s="151"/>
      <c r="Z25" s="151"/>
      <c r="AA25" s="151"/>
      <c r="AB25" s="151"/>
      <c r="AC25" s="151"/>
      <c r="AD25" s="151"/>
      <c r="AE25" s="151"/>
      <c r="AF25" s="151">
        <v>4</v>
      </c>
      <c r="AH25" s="3">
        <v>34</v>
      </c>
      <c r="AI25" s="151"/>
      <c r="AJ25" s="151"/>
      <c r="AK25" s="151"/>
      <c r="AL25" s="151"/>
      <c r="AM25" s="151"/>
      <c r="AN25" s="151"/>
      <c r="AO25" s="151"/>
      <c r="AP25" s="151"/>
      <c r="AQ25" s="151"/>
      <c r="AR25" s="151">
        <v>2</v>
      </c>
      <c r="AS25" s="151"/>
      <c r="AT25" s="151"/>
      <c r="AU25" s="151"/>
      <c r="AV25" s="151">
        <v>1</v>
      </c>
      <c r="AW25" s="151"/>
      <c r="AX25" s="151">
        <v>1</v>
      </c>
      <c r="AY25" s="151"/>
      <c r="AZ25" s="151">
        <v>4</v>
      </c>
      <c r="BB25" s="3">
        <v>34</v>
      </c>
      <c r="BC25" s="152"/>
      <c r="BD25" s="152"/>
      <c r="BE25" s="152"/>
      <c r="BF25" s="152"/>
      <c r="BG25" s="152"/>
      <c r="BH25" s="152"/>
      <c r="BI25" s="152"/>
      <c r="BJ25" s="152"/>
      <c r="BK25" s="152"/>
      <c r="BL25" s="152">
        <v>55</v>
      </c>
      <c r="BM25" s="152"/>
      <c r="BN25" s="152"/>
      <c r="BO25" s="152"/>
      <c r="BP25" s="152">
        <v>0</v>
      </c>
      <c r="BQ25" s="152"/>
      <c r="BR25" s="152">
        <v>1</v>
      </c>
      <c r="BS25" s="152"/>
      <c r="BT25" s="151">
        <v>56</v>
      </c>
    </row>
    <row r="26" spans="1:72" x14ac:dyDescent="0.2">
      <c r="A26" s="3">
        <v>35</v>
      </c>
      <c r="B26" s="151"/>
      <c r="C26" s="151"/>
      <c r="D26" s="151"/>
      <c r="E26" s="151"/>
      <c r="F26" s="151">
        <v>2</v>
      </c>
      <c r="G26" s="151"/>
      <c r="H26" s="151"/>
      <c r="I26" s="151"/>
      <c r="J26" s="151"/>
      <c r="K26" s="151">
        <v>1</v>
      </c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>
        <v>1</v>
      </c>
      <c r="AA26" s="151"/>
      <c r="AB26" s="151"/>
      <c r="AC26" s="151"/>
      <c r="AD26" s="151"/>
      <c r="AE26" s="151"/>
      <c r="AF26" s="151">
        <v>4</v>
      </c>
      <c r="AH26" s="3">
        <v>35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>
        <v>2</v>
      </c>
      <c r="AT26" s="151"/>
      <c r="AU26" s="151"/>
      <c r="AV26" s="151"/>
      <c r="AW26" s="151">
        <v>1</v>
      </c>
      <c r="AX26" s="151"/>
      <c r="AY26" s="151">
        <v>1</v>
      </c>
      <c r="AZ26" s="151">
        <v>4</v>
      </c>
      <c r="BB26" s="3">
        <v>35</v>
      </c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>
        <v>6</v>
      </c>
      <c r="BN26" s="152"/>
      <c r="BO26" s="152"/>
      <c r="BP26" s="152"/>
      <c r="BQ26" s="152">
        <v>5</v>
      </c>
      <c r="BR26" s="152"/>
      <c r="BS26" s="152">
        <v>7</v>
      </c>
      <c r="BT26" s="151">
        <v>18</v>
      </c>
    </row>
    <row r="27" spans="1:72" x14ac:dyDescent="0.2">
      <c r="A27" s="3">
        <v>37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>
        <v>1</v>
      </c>
      <c r="AB27" s="151"/>
      <c r="AC27" s="151"/>
      <c r="AD27" s="151"/>
      <c r="AE27" s="151"/>
      <c r="AF27" s="151">
        <v>1</v>
      </c>
      <c r="AH27" s="3">
        <v>37</v>
      </c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>
        <v>1</v>
      </c>
      <c r="AV27" s="151"/>
      <c r="AW27" s="151"/>
      <c r="AX27" s="151"/>
      <c r="AY27" s="151"/>
      <c r="AZ27" s="151">
        <v>1</v>
      </c>
      <c r="BB27" s="3">
        <v>37</v>
      </c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>
        <v>34</v>
      </c>
      <c r="BP27" s="152"/>
      <c r="BQ27" s="152"/>
      <c r="BR27" s="152"/>
      <c r="BS27" s="152"/>
      <c r="BT27" s="151">
        <v>34</v>
      </c>
    </row>
    <row r="28" spans="1:72" x14ac:dyDescent="0.2">
      <c r="A28" s="3">
        <v>40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>
        <v>1</v>
      </c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>
        <v>1</v>
      </c>
      <c r="AH28" s="3">
        <v>40</v>
      </c>
      <c r="AI28" s="151">
        <v>1</v>
      </c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>
        <v>1</v>
      </c>
      <c r="BB28" s="3">
        <v>40</v>
      </c>
      <c r="BC28" s="152">
        <v>0</v>
      </c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1">
        <v>0</v>
      </c>
    </row>
    <row r="29" spans="1:72" x14ac:dyDescent="0.2">
      <c r="A29" s="3">
        <v>41</v>
      </c>
      <c r="B29" s="151"/>
      <c r="C29" s="151"/>
      <c r="D29" s="151">
        <v>1</v>
      </c>
      <c r="E29" s="151"/>
      <c r="F29" s="151">
        <v>1</v>
      </c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>
        <v>2</v>
      </c>
      <c r="AH29" s="3">
        <v>41</v>
      </c>
      <c r="AI29" s="151"/>
      <c r="AJ29" s="151"/>
      <c r="AK29" s="151"/>
      <c r="AL29" s="151"/>
      <c r="AM29" s="151"/>
      <c r="AN29" s="151"/>
      <c r="AO29" s="151"/>
      <c r="AP29" s="151"/>
      <c r="AQ29" s="151"/>
      <c r="AR29" s="151">
        <v>1</v>
      </c>
      <c r="AS29" s="151"/>
      <c r="AT29" s="151"/>
      <c r="AU29" s="151"/>
      <c r="AV29" s="151"/>
      <c r="AW29" s="151"/>
      <c r="AX29" s="151"/>
      <c r="AY29" s="151">
        <v>1</v>
      </c>
      <c r="AZ29" s="151">
        <v>2</v>
      </c>
      <c r="BB29" s="3">
        <v>41</v>
      </c>
      <c r="BC29" s="152"/>
      <c r="BD29" s="152"/>
      <c r="BE29" s="152"/>
      <c r="BF29" s="152"/>
      <c r="BG29" s="152"/>
      <c r="BH29" s="152"/>
      <c r="BI29" s="152"/>
      <c r="BJ29" s="152"/>
      <c r="BK29" s="152"/>
      <c r="BL29" s="152">
        <v>0</v>
      </c>
      <c r="BM29" s="152"/>
      <c r="BN29" s="152"/>
      <c r="BO29" s="152"/>
      <c r="BP29" s="152"/>
      <c r="BQ29" s="152"/>
      <c r="BR29" s="152"/>
      <c r="BS29" s="152">
        <v>0</v>
      </c>
      <c r="BT29" s="151">
        <v>0</v>
      </c>
    </row>
    <row r="30" spans="1:72" x14ac:dyDescent="0.2">
      <c r="A30" s="3">
        <v>42</v>
      </c>
      <c r="B30" s="151"/>
      <c r="C30" s="151"/>
      <c r="D30" s="151">
        <v>1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>
        <v>1</v>
      </c>
      <c r="AH30" s="3">
        <v>42</v>
      </c>
      <c r="AI30" s="151"/>
      <c r="AJ30" s="151">
        <v>1</v>
      </c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>
        <v>1</v>
      </c>
      <c r="BB30" s="3">
        <v>42</v>
      </c>
      <c r="BC30" s="152"/>
      <c r="BD30" s="152">
        <v>0</v>
      </c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1">
        <v>0</v>
      </c>
    </row>
    <row r="31" spans="1:72" x14ac:dyDescent="0.2">
      <c r="A31" s="3">
        <v>43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>
        <v>1</v>
      </c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>
        <v>1</v>
      </c>
      <c r="AH31" s="3">
        <v>43</v>
      </c>
      <c r="AI31" s="151"/>
      <c r="AJ31" s="151"/>
      <c r="AK31" s="151">
        <v>1</v>
      </c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>
        <v>1</v>
      </c>
      <c r="BB31" s="3">
        <v>43</v>
      </c>
      <c r="BC31" s="152"/>
      <c r="BD31" s="152"/>
      <c r="BE31" s="152">
        <v>0</v>
      </c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1">
        <v>0</v>
      </c>
    </row>
    <row r="32" spans="1:72" x14ac:dyDescent="0.2">
      <c r="A32" s="3">
        <v>44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>
        <v>1</v>
      </c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>
        <v>1</v>
      </c>
      <c r="AH32" s="3">
        <v>44</v>
      </c>
      <c r="AI32" s="151"/>
      <c r="AJ32" s="151"/>
      <c r="AK32" s="151"/>
      <c r="AL32" s="151">
        <v>1</v>
      </c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>
        <v>1</v>
      </c>
      <c r="BB32" s="3">
        <v>44</v>
      </c>
      <c r="BC32" s="152"/>
      <c r="BD32" s="152"/>
      <c r="BE32" s="152"/>
      <c r="BF32" s="152">
        <v>0</v>
      </c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1">
        <v>0</v>
      </c>
    </row>
    <row r="33" spans="1:72" x14ac:dyDescent="0.2">
      <c r="A33" s="3">
        <v>45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>
        <v>1</v>
      </c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>
        <v>1</v>
      </c>
      <c r="AH33" s="3">
        <v>45</v>
      </c>
      <c r="AI33" s="151"/>
      <c r="AJ33" s="151"/>
      <c r="AK33" s="151"/>
      <c r="AL33" s="151"/>
      <c r="AM33" s="151">
        <v>1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>
        <v>1</v>
      </c>
      <c r="BB33" s="3">
        <v>45</v>
      </c>
      <c r="BC33" s="152"/>
      <c r="BD33" s="152"/>
      <c r="BE33" s="152"/>
      <c r="BF33" s="152"/>
      <c r="BG33" s="152">
        <v>0</v>
      </c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1">
        <v>0</v>
      </c>
    </row>
    <row r="34" spans="1:72" x14ac:dyDescent="0.2">
      <c r="A34" s="3" t="s">
        <v>384</v>
      </c>
      <c r="B34" s="151"/>
      <c r="C34" s="151"/>
      <c r="D34" s="151"/>
      <c r="E34" s="151"/>
      <c r="F34" s="151">
        <v>1</v>
      </c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>
        <v>1</v>
      </c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>
        <v>2</v>
      </c>
      <c r="AH34" s="3" t="s">
        <v>384</v>
      </c>
      <c r="AI34" s="151">
        <v>2</v>
      </c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>
        <v>2</v>
      </c>
      <c r="BB34" s="3" t="s">
        <v>384</v>
      </c>
      <c r="BC34" s="152">
        <v>0</v>
      </c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1">
        <v>0</v>
      </c>
    </row>
    <row r="35" spans="1:72" x14ac:dyDescent="0.2">
      <c r="A35" s="3" t="s">
        <v>385</v>
      </c>
      <c r="B35" s="151">
        <v>4</v>
      </c>
      <c r="C35" s="151">
        <v>48</v>
      </c>
      <c r="D35" s="151">
        <v>31</v>
      </c>
      <c r="E35" s="151">
        <v>29</v>
      </c>
      <c r="F35" s="151">
        <v>48</v>
      </c>
      <c r="G35" s="151">
        <v>12</v>
      </c>
      <c r="H35" s="151">
        <v>14</v>
      </c>
      <c r="I35" s="151">
        <v>15</v>
      </c>
      <c r="J35" s="151">
        <v>20</v>
      </c>
      <c r="K35" s="151">
        <v>22</v>
      </c>
      <c r="L35" s="151">
        <v>16</v>
      </c>
      <c r="M35" s="151">
        <v>26</v>
      </c>
      <c r="N35" s="151">
        <v>10</v>
      </c>
      <c r="O35" s="151">
        <v>19</v>
      </c>
      <c r="P35" s="151">
        <v>21</v>
      </c>
      <c r="Q35" s="151">
        <v>10</v>
      </c>
      <c r="R35" s="151">
        <v>10</v>
      </c>
      <c r="S35" s="151">
        <v>14</v>
      </c>
      <c r="T35" s="151">
        <v>9</v>
      </c>
      <c r="U35" s="151">
        <v>6</v>
      </c>
      <c r="V35" s="151">
        <v>3</v>
      </c>
      <c r="W35" s="151">
        <v>14</v>
      </c>
      <c r="X35" s="151">
        <v>8</v>
      </c>
      <c r="Y35" s="151">
        <v>4</v>
      </c>
      <c r="Z35" s="151">
        <v>5</v>
      </c>
      <c r="AA35" s="151">
        <v>8</v>
      </c>
      <c r="AB35" s="151">
        <v>6</v>
      </c>
      <c r="AC35" s="151">
        <v>3</v>
      </c>
      <c r="AD35" s="151">
        <v>6</v>
      </c>
      <c r="AE35" s="151">
        <v>3</v>
      </c>
      <c r="AF35" s="151">
        <v>444</v>
      </c>
      <c r="AH35" s="3" t="s">
        <v>385</v>
      </c>
      <c r="AI35" s="151">
        <v>24</v>
      </c>
      <c r="AJ35" s="151">
        <v>24</v>
      </c>
      <c r="AK35" s="151">
        <v>21</v>
      </c>
      <c r="AL35" s="151">
        <v>26</v>
      </c>
      <c r="AM35" s="151">
        <v>25</v>
      </c>
      <c r="AN35" s="151">
        <v>37</v>
      </c>
      <c r="AO35" s="151">
        <v>33</v>
      </c>
      <c r="AP35" s="151">
        <v>28</v>
      </c>
      <c r="AQ35" s="151">
        <v>21</v>
      </c>
      <c r="AR35" s="151">
        <v>21</v>
      </c>
      <c r="AS35" s="151">
        <v>25</v>
      </c>
      <c r="AT35" s="151">
        <v>24</v>
      </c>
      <c r="AU35" s="151">
        <v>29</v>
      </c>
      <c r="AV35" s="151">
        <v>28</v>
      </c>
      <c r="AW35" s="151">
        <v>33</v>
      </c>
      <c r="AX35" s="151">
        <v>23</v>
      </c>
      <c r="AY35" s="151">
        <v>22</v>
      </c>
      <c r="AZ35" s="151">
        <v>444</v>
      </c>
      <c r="BB35" s="3" t="s">
        <v>385</v>
      </c>
      <c r="BC35" s="152">
        <v>40</v>
      </c>
      <c r="BD35" s="152">
        <v>31</v>
      </c>
      <c r="BE35" s="152">
        <v>18</v>
      </c>
      <c r="BF35" s="152">
        <v>33</v>
      </c>
      <c r="BG35" s="152">
        <v>58</v>
      </c>
      <c r="BH35" s="152">
        <v>120</v>
      </c>
      <c r="BI35" s="152">
        <v>56</v>
      </c>
      <c r="BJ35" s="152">
        <v>56</v>
      </c>
      <c r="BK35" s="152">
        <v>73</v>
      </c>
      <c r="BL35" s="152">
        <v>122</v>
      </c>
      <c r="BM35" s="152">
        <v>10</v>
      </c>
      <c r="BN35" s="152">
        <v>28</v>
      </c>
      <c r="BO35" s="152">
        <v>110</v>
      </c>
      <c r="BP35" s="152">
        <v>47</v>
      </c>
      <c r="BQ35" s="152">
        <v>106</v>
      </c>
      <c r="BR35" s="152">
        <v>9</v>
      </c>
      <c r="BS35" s="152">
        <v>26</v>
      </c>
      <c r="BT35" s="151">
        <v>943</v>
      </c>
    </row>
    <row r="36" spans="1:72" x14ac:dyDescent="0.2">
      <c r="D36" s="5"/>
      <c r="E36" s="5"/>
      <c r="F36" s="9"/>
      <c r="G36" s="2"/>
    </row>
    <row r="37" spans="1:72" x14ac:dyDescent="0.2">
      <c r="D37" s="5"/>
      <c r="E37" s="5"/>
      <c r="F37" s="9"/>
    </row>
  </sheetData>
  <mergeCells count="3">
    <mergeCell ref="BB1:BT1"/>
    <mergeCell ref="AH1:AZ1"/>
    <mergeCell ref="A1:AF1"/>
  </mergeCells>
  <conditionalFormatting pivot="1" sqref="AI4:AI3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J4:AJ3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K4:AK34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L4:AL3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M4:AM34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N4:AN3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O4:AO34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P4:AP3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Q4:AQ3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R4:AR3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S4:AS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T4:AT34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U4:AU34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V4:AV3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W4:AW3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X4:AX3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AY4:AY3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C4:BC33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D4:BD3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E4:BE3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F4:BF3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G4:BG3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H4:BH3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I4:BI3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J4:BJ3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K4:BK3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L4:BL3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M4:BM3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N4:BN3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O4:BO3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P4:BP3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Q4:BQ3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R4:BR3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pivot="1" sqref="BS4:BS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C18D-AC9B-4633-98FF-519031AB2A94}">
  <dimension ref="A3:M193"/>
  <sheetViews>
    <sheetView workbookViewId="0">
      <selection activeCell="I1" sqref="I1:M1048576"/>
    </sheetView>
  </sheetViews>
  <sheetFormatPr defaultRowHeight="10.199999999999999" x14ac:dyDescent="0.2"/>
  <cols>
    <col min="1" max="1" width="21" bestFit="1" customWidth="1"/>
    <col min="2" max="2" width="4.42578125" bestFit="1" customWidth="1"/>
    <col min="3" max="3" width="5.5703125" bestFit="1" customWidth="1"/>
    <col min="4" max="4" width="4.42578125" bestFit="1" customWidth="1"/>
    <col min="5" max="5" width="5.5703125" bestFit="1" customWidth="1"/>
    <col min="6" max="6" width="10.140625" bestFit="1" customWidth="1"/>
    <col min="8" max="8" width="21" bestFit="1" customWidth="1"/>
    <col min="9" max="9" width="3.7109375" bestFit="1" customWidth="1"/>
    <col min="10" max="12" width="4.42578125" bestFit="1" customWidth="1"/>
    <col min="13" max="13" width="10.140625" bestFit="1" customWidth="1"/>
  </cols>
  <sheetData>
    <row r="3" spans="1:13" x14ac:dyDescent="0.2">
      <c r="A3" s="27" t="s">
        <v>394</v>
      </c>
      <c r="B3" s="27" t="s">
        <v>210</v>
      </c>
      <c r="H3" s="27" t="s">
        <v>226</v>
      </c>
      <c r="I3" s="27" t="s">
        <v>209</v>
      </c>
    </row>
    <row r="4" spans="1:13" x14ac:dyDescent="0.2">
      <c r="A4" s="27" t="s">
        <v>386</v>
      </c>
      <c r="B4">
        <v>1</v>
      </c>
      <c r="C4">
        <v>2</v>
      </c>
      <c r="D4">
        <v>3</v>
      </c>
      <c r="E4">
        <v>4</v>
      </c>
      <c r="F4" t="s">
        <v>385</v>
      </c>
      <c r="H4" s="27" t="s">
        <v>386</v>
      </c>
      <c r="I4">
        <v>1</v>
      </c>
      <c r="J4">
        <v>2</v>
      </c>
      <c r="K4">
        <v>3</v>
      </c>
      <c r="L4">
        <v>4</v>
      </c>
      <c r="M4" t="s">
        <v>385</v>
      </c>
    </row>
    <row r="5" spans="1:13" x14ac:dyDescent="0.2">
      <c r="A5" s="3" t="s">
        <v>74</v>
      </c>
      <c r="B5" s="151">
        <v>10</v>
      </c>
      <c r="C5" s="151">
        <v>95</v>
      </c>
      <c r="D5" s="151">
        <v>15</v>
      </c>
      <c r="E5" s="151">
        <v>80</v>
      </c>
      <c r="F5" s="151">
        <v>200</v>
      </c>
      <c r="H5" s="3" t="s">
        <v>149</v>
      </c>
      <c r="I5" s="151"/>
      <c r="J5" s="151"/>
      <c r="K5" s="151"/>
      <c r="L5" s="151">
        <v>2</v>
      </c>
      <c r="M5" s="151">
        <v>2</v>
      </c>
    </row>
    <row r="6" spans="1:13" x14ac:dyDescent="0.2">
      <c r="A6" s="3" t="s">
        <v>56</v>
      </c>
      <c r="B6" s="151">
        <v>10</v>
      </c>
      <c r="C6" s="151">
        <v>132</v>
      </c>
      <c r="D6" s="151">
        <v>9</v>
      </c>
      <c r="E6" s="151"/>
      <c r="F6" s="151">
        <v>151</v>
      </c>
      <c r="H6" s="3" t="s">
        <v>27</v>
      </c>
      <c r="I6" s="151"/>
      <c r="J6" s="151"/>
      <c r="K6" s="151"/>
      <c r="L6" s="151">
        <v>1</v>
      </c>
      <c r="M6" s="151">
        <v>1</v>
      </c>
    </row>
    <row r="7" spans="1:13" x14ac:dyDescent="0.2">
      <c r="A7" s="3" t="s">
        <v>34</v>
      </c>
      <c r="B7" s="151">
        <v>2</v>
      </c>
      <c r="C7" s="151">
        <v>132</v>
      </c>
      <c r="D7" s="151"/>
      <c r="E7" s="151">
        <v>4</v>
      </c>
      <c r="F7" s="151">
        <v>138</v>
      </c>
      <c r="H7" s="3" t="s">
        <v>155</v>
      </c>
      <c r="I7" s="151"/>
      <c r="J7" s="151"/>
      <c r="K7" s="151"/>
      <c r="L7" s="151">
        <v>0</v>
      </c>
      <c r="M7" s="151">
        <v>0</v>
      </c>
    </row>
    <row r="8" spans="1:13" x14ac:dyDescent="0.2">
      <c r="A8" s="3" t="s">
        <v>101</v>
      </c>
      <c r="B8" s="151">
        <v>6</v>
      </c>
      <c r="C8" s="151">
        <v>34</v>
      </c>
      <c r="D8" s="151">
        <v>12</v>
      </c>
      <c r="E8" s="151">
        <v>69</v>
      </c>
      <c r="F8" s="151">
        <v>121</v>
      </c>
      <c r="H8" s="3" t="s">
        <v>74</v>
      </c>
      <c r="I8" s="151">
        <v>0</v>
      </c>
      <c r="J8" s="151">
        <v>1</v>
      </c>
      <c r="K8" s="151">
        <v>0</v>
      </c>
      <c r="L8" s="151">
        <v>8</v>
      </c>
      <c r="M8" s="151">
        <v>9</v>
      </c>
    </row>
    <row r="9" spans="1:13" x14ac:dyDescent="0.2">
      <c r="A9" s="3" t="s">
        <v>59</v>
      </c>
      <c r="B9" s="151">
        <v>5</v>
      </c>
      <c r="C9" s="151">
        <v>114</v>
      </c>
      <c r="D9" s="151"/>
      <c r="E9" s="151"/>
      <c r="F9" s="151">
        <v>119</v>
      </c>
      <c r="H9" s="3" t="s">
        <v>39</v>
      </c>
      <c r="I9" s="151"/>
      <c r="J9" s="151">
        <v>1</v>
      </c>
      <c r="K9" s="151"/>
      <c r="L9" s="151">
        <v>0</v>
      </c>
      <c r="M9" s="151">
        <v>1</v>
      </c>
    </row>
    <row r="10" spans="1:13" x14ac:dyDescent="0.2">
      <c r="A10" s="3" t="s">
        <v>69</v>
      </c>
      <c r="B10" s="151">
        <v>9</v>
      </c>
      <c r="C10" s="151">
        <v>96</v>
      </c>
      <c r="D10" s="151"/>
      <c r="E10" s="151"/>
      <c r="F10" s="151">
        <v>105</v>
      </c>
      <c r="H10" s="3" t="s">
        <v>93</v>
      </c>
      <c r="I10" s="151"/>
      <c r="J10" s="151">
        <v>9</v>
      </c>
      <c r="K10" s="151"/>
      <c r="L10" s="151"/>
      <c r="M10" s="151">
        <v>9</v>
      </c>
    </row>
    <row r="11" spans="1:13" x14ac:dyDescent="0.2">
      <c r="A11" s="3" t="s">
        <v>50</v>
      </c>
      <c r="B11" s="151"/>
      <c r="C11" s="151">
        <v>70</v>
      </c>
      <c r="D11" s="151">
        <v>22</v>
      </c>
      <c r="E11" s="151"/>
      <c r="F11" s="151">
        <v>92</v>
      </c>
      <c r="H11" s="3" t="s">
        <v>171</v>
      </c>
      <c r="I11" s="151"/>
      <c r="J11" s="151"/>
      <c r="K11" s="151"/>
      <c r="L11" s="151">
        <v>0</v>
      </c>
      <c r="M11" s="151">
        <v>0</v>
      </c>
    </row>
    <row r="12" spans="1:13" x14ac:dyDescent="0.2">
      <c r="A12" s="3" t="s">
        <v>82</v>
      </c>
      <c r="B12" s="151">
        <v>9</v>
      </c>
      <c r="C12" s="151">
        <v>80</v>
      </c>
      <c r="D12" s="151"/>
      <c r="E12" s="151"/>
      <c r="F12" s="151">
        <v>89</v>
      </c>
      <c r="H12" s="3" t="s">
        <v>160</v>
      </c>
      <c r="I12" s="151"/>
      <c r="J12" s="151"/>
      <c r="K12" s="151"/>
      <c r="L12" s="151">
        <v>0</v>
      </c>
      <c r="M12" s="151">
        <v>0</v>
      </c>
    </row>
    <row r="13" spans="1:13" x14ac:dyDescent="0.2">
      <c r="A13" s="3" t="s">
        <v>133</v>
      </c>
      <c r="B13" s="151"/>
      <c r="C13" s="151"/>
      <c r="D13" s="151"/>
      <c r="E13" s="151">
        <v>83</v>
      </c>
      <c r="F13" s="151">
        <v>83</v>
      </c>
      <c r="H13" s="3" t="s">
        <v>164</v>
      </c>
      <c r="I13" s="151"/>
      <c r="J13" s="151"/>
      <c r="K13" s="151"/>
      <c r="L13" s="151">
        <v>0</v>
      </c>
      <c r="M13" s="151">
        <v>0</v>
      </c>
    </row>
    <row r="14" spans="1:13" x14ac:dyDescent="0.2">
      <c r="A14" s="3" t="s">
        <v>108</v>
      </c>
      <c r="B14" s="151"/>
      <c r="C14" s="151">
        <v>30</v>
      </c>
      <c r="D14" s="151">
        <v>16</v>
      </c>
      <c r="E14" s="151">
        <v>34</v>
      </c>
      <c r="F14" s="151">
        <v>80</v>
      </c>
      <c r="H14" s="3" t="s">
        <v>52</v>
      </c>
      <c r="I14" s="151"/>
      <c r="J14" s="151">
        <v>0</v>
      </c>
      <c r="K14" s="151"/>
      <c r="L14" s="151"/>
      <c r="M14" s="151">
        <v>0</v>
      </c>
    </row>
    <row r="15" spans="1:13" x14ac:dyDescent="0.2">
      <c r="A15" s="3" t="s">
        <v>84</v>
      </c>
      <c r="B15" s="151"/>
      <c r="C15" s="151">
        <v>31</v>
      </c>
      <c r="D15" s="151"/>
      <c r="E15" s="151">
        <v>43</v>
      </c>
      <c r="F15" s="151">
        <v>74</v>
      </c>
      <c r="H15" s="3" t="s">
        <v>90</v>
      </c>
      <c r="I15" s="151"/>
      <c r="J15" s="151">
        <v>0</v>
      </c>
      <c r="K15" s="151"/>
      <c r="L15" s="151"/>
      <c r="M15" s="151">
        <v>0</v>
      </c>
    </row>
    <row r="16" spans="1:13" x14ac:dyDescent="0.2">
      <c r="A16" s="3" t="s">
        <v>71</v>
      </c>
      <c r="B16" s="151">
        <v>7</v>
      </c>
      <c r="C16" s="151">
        <v>64</v>
      </c>
      <c r="D16" s="151"/>
      <c r="E16" s="151"/>
      <c r="F16" s="151">
        <v>71</v>
      </c>
      <c r="H16" s="3" t="s">
        <v>192</v>
      </c>
      <c r="I16" s="151"/>
      <c r="J16" s="151"/>
      <c r="K16" s="151">
        <v>0</v>
      </c>
      <c r="L16" s="151"/>
      <c r="M16" s="151">
        <v>0</v>
      </c>
    </row>
    <row r="17" spans="1:13" x14ac:dyDescent="0.2">
      <c r="A17" s="3" t="s">
        <v>70</v>
      </c>
      <c r="B17" s="151">
        <v>10</v>
      </c>
      <c r="C17" s="151">
        <v>60</v>
      </c>
      <c r="D17" s="151"/>
      <c r="E17" s="151"/>
      <c r="F17" s="151">
        <v>70</v>
      </c>
      <c r="H17" s="3" t="s">
        <v>70</v>
      </c>
      <c r="I17" s="151">
        <v>0</v>
      </c>
      <c r="J17" s="151">
        <v>38</v>
      </c>
      <c r="K17" s="151"/>
      <c r="L17" s="151"/>
      <c r="M17" s="151">
        <v>38</v>
      </c>
    </row>
    <row r="18" spans="1:13" x14ac:dyDescent="0.2">
      <c r="A18" s="3" t="s">
        <v>136</v>
      </c>
      <c r="B18" s="151"/>
      <c r="C18" s="151"/>
      <c r="D18" s="151"/>
      <c r="E18" s="151">
        <v>69</v>
      </c>
      <c r="F18" s="151">
        <v>69</v>
      </c>
      <c r="H18" s="3" t="s">
        <v>117</v>
      </c>
      <c r="I18" s="151"/>
      <c r="J18" s="151"/>
      <c r="K18" s="151">
        <v>1</v>
      </c>
      <c r="L18" s="151"/>
      <c r="M18" s="151">
        <v>1</v>
      </c>
    </row>
    <row r="19" spans="1:13" x14ac:dyDescent="0.2">
      <c r="A19" s="3" t="s">
        <v>36</v>
      </c>
      <c r="B19" s="151"/>
      <c r="C19" s="151">
        <v>59</v>
      </c>
      <c r="D19" s="151"/>
      <c r="E19" s="151">
        <v>4</v>
      </c>
      <c r="F19" s="151">
        <v>63</v>
      </c>
      <c r="H19" s="3" t="s">
        <v>75</v>
      </c>
      <c r="I19" s="151">
        <v>0</v>
      </c>
      <c r="J19" s="151">
        <v>0</v>
      </c>
      <c r="K19" s="151"/>
      <c r="L19" s="151"/>
      <c r="M19" s="151">
        <v>0</v>
      </c>
    </row>
    <row r="20" spans="1:13" x14ac:dyDescent="0.2">
      <c r="A20" s="3" t="s">
        <v>89</v>
      </c>
      <c r="B20" s="151">
        <v>8</v>
      </c>
      <c r="C20" s="151">
        <v>41</v>
      </c>
      <c r="D20" s="151">
        <v>14</v>
      </c>
      <c r="E20" s="151"/>
      <c r="F20" s="151">
        <v>63</v>
      </c>
      <c r="H20" s="3" t="s">
        <v>202</v>
      </c>
      <c r="I20" s="151"/>
      <c r="J20" s="151"/>
      <c r="K20" s="151">
        <v>0</v>
      </c>
      <c r="L20" s="151"/>
      <c r="M20" s="151">
        <v>0</v>
      </c>
    </row>
    <row r="21" spans="1:13" x14ac:dyDescent="0.2">
      <c r="A21" s="3" t="s">
        <v>135</v>
      </c>
      <c r="B21" s="151"/>
      <c r="C21" s="151"/>
      <c r="D21" s="151">
        <v>3</v>
      </c>
      <c r="E21" s="151">
        <v>57</v>
      </c>
      <c r="F21" s="151">
        <v>60</v>
      </c>
      <c r="H21" s="3" t="s">
        <v>163</v>
      </c>
      <c r="I21" s="151"/>
      <c r="J21" s="151"/>
      <c r="K21" s="151"/>
      <c r="L21" s="151">
        <v>0</v>
      </c>
      <c r="M21" s="151">
        <v>0</v>
      </c>
    </row>
    <row r="22" spans="1:13" x14ac:dyDescent="0.2">
      <c r="A22" s="3" t="s">
        <v>83</v>
      </c>
      <c r="B22" s="151">
        <v>9</v>
      </c>
      <c r="C22" s="151">
        <v>47</v>
      </c>
      <c r="D22" s="151"/>
      <c r="E22" s="151"/>
      <c r="F22" s="151">
        <v>56</v>
      </c>
      <c r="H22" s="3" t="s">
        <v>97</v>
      </c>
      <c r="I22" s="151"/>
      <c r="J22" s="151">
        <v>0</v>
      </c>
      <c r="K22" s="151"/>
      <c r="L22" s="151">
        <v>1</v>
      </c>
      <c r="M22" s="151">
        <v>1</v>
      </c>
    </row>
    <row r="23" spans="1:13" x14ac:dyDescent="0.2">
      <c r="A23" s="3" t="s">
        <v>43</v>
      </c>
      <c r="B23" s="151"/>
      <c r="C23" s="151">
        <v>37</v>
      </c>
      <c r="D23" s="151">
        <v>13</v>
      </c>
      <c r="E23" s="151">
        <v>3</v>
      </c>
      <c r="F23" s="151">
        <v>53</v>
      </c>
      <c r="H23" s="3" t="s">
        <v>77</v>
      </c>
      <c r="I23" s="151"/>
      <c r="J23" s="151">
        <v>0</v>
      </c>
      <c r="K23" s="151"/>
      <c r="L23" s="151"/>
      <c r="M23" s="151">
        <v>0</v>
      </c>
    </row>
    <row r="24" spans="1:13" x14ac:dyDescent="0.2">
      <c r="A24" s="3" t="s">
        <v>80</v>
      </c>
      <c r="B24" s="151">
        <v>2</v>
      </c>
      <c r="C24" s="151">
        <v>48</v>
      </c>
      <c r="D24" s="151"/>
      <c r="E24" s="151"/>
      <c r="F24" s="151">
        <v>50</v>
      </c>
      <c r="H24" s="3" t="s">
        <v>42</v>
      </c>
      <c r="I24" s="151"/>
      <c r="J24" s="151">
        <v>0</v>
      </c>
      <c r="K24" s="151"/>
      <c r="L24" s="151">
        <v>0</v>
      </c>
      <c r="M24" s="151">
        <v>0</v>
      </c>
    </row>
    <row r="25" spans="1:13" x14ac:dyDescent="0.2">
      <c r="A25" s="3" t="s">
        <v>168</v>
      </c>
      <c r="B25" s="151"/>
      <c r="C25" s="151"/>
      <c r="D25" s="151">
        <v>2</v>
      </c>
      <c r="E25" s="151">
        <v>47</v>
      </c>
      <c r="F25" s="151">
        <v>49</v>
      </c>
      <c r="H25" s="3" t="s">
        <v>182</v>
      </c>
      <c r="I25" s="151"/>
      <c r="J25" s="151"/>
      <c r="K25" s="151"/>
      <c r="L25" s="151">
        <v>0</v>
      </c>
      <c r="M25" s="151">
        <v>0</v>
      </c>
    </row>
    <row r="26" spans="1:13" x14ac:dyDescent="0.2">
      <c r="A26" s="3" t="s">
        <v>64</v>
      </c>
      <c r="B26" s="151">
        <v>7</v>
      </c>
      <c r="C26" s="151">
        <v>18</v>
      </c>
      <c r="D26" s="151">
        <v>16</v>
      </c>
      <c r="E26" s="151">
        <v>7</v>
      </c>
      <c r="F26" s="151">
        <v>48</v>
      </c>
      <c r="H26" s="3" t="s">
        <v>94</v>
      </c>
      <c r="I26" s="151">
        <v>0</v>
      </c>
      <c r="J26" s="151">
        <v>0</v>
      </c>
      <c r="K26" s="151"/>
      <c r="L26" s="151">
        <v>0</v>
      </c>
      <c r="M26" s="151">
        <v>0</v>
      </c>
    </row>
    <row r="27" spans="1:13" x14ac:dyDescent="0.2">
      <c r="A27" s="3" t="s">
        <v>105</v>
      </c>
      <c r="B27" s="151"/>
      <c r="C27" s="151">
        <v>40</v>
      </c>
      <c r="D27" s="151">
        <v>8</v>
      </c>
      <c r="E27" s="151"/>
      <c r="F27" s="151">
        <v>48</v>
      </c>
      <c r="H27" s="3" t="s">
        <v>156</v>
      </c>
      <c r="I27" s="151"/>
      <c r="J27" s="151"/>
      <c r="K27" s="151"/>
      <c r="L27" s="151">
        <v>0</v>
      </c>
      <c r="M27" s="151">
        <v>0</v>
      </c>
    </row>
    <row r="28" spans="1:13" x14ac:dyDescent="0.2">
      <c r="A28" s="3" t="s">
        <v>100</v>
      </c>
      <c r="B28" s="151">
        <v>6</v>
      </c>
      <c r="C28" s="151">
        <v>40</v>
      </c>
      <c r="D28" s="151"/>
      <c r="E28" s="151"/>
      <c r="F28" s="151">
        <v>46</v>
      </c>
      <c r="H28" s="3" t="s">
        <v>189</v>
      </c>
      <c r="I28" s="151"/>
      <c r="J28" s="151"/>
      <c r="K28" s="151">
        <v>5</v>
      </c>
      <c r="L28" s="151"/>
      <c r="M28" s="151">
        <v>5</v>
      </c>
    </row>
    <row r="29" spans="1:13" x14ac:dyDescent="0.2">
      <c r="A29" s="3" t="s">
        <v>184</v>
      </c>
      <c r="B29" s="151"/>
      <c r="C29" s="151"/>
      <c r="D29" s="151">
        <v>45</v>
      </c>
      <c r="E29" s="151"/>
      <c r="F29" s="151">
        <v>45</v>
      </c>
      <c r="H29" s="3" t="s">
        <v>114</v>
      </c>
      <c r="I29" s="151"/>
      <c r="J29" s="151">
        <v>1</v>
      </c>
      <c r="K29" s="151"/>
      <c r="L29" s="151"/>
      <c r="M29" s="151">
        <v>1</v>
      </c>
    </row>
    <row r="30" spans="1:13" x14ac:dyDescent="0.2">
      <c r="A30" s="3" t="s">
        <v>167</v>
      </c>
      <c r="B30" s="151"/>
      <c r="C30" s="151"/>
      <c r="D30" s="151"/>
      <c r="E30" s="151">
        <v>45</v>
      </c>
      <c r="F30" s="151">
        <v>45</v>
      </c>
      <c r="H30" s="3" t="s">
        <v>100</v>
      </c>
      <c r="I30" s="151">
        <v>0</v>
      </c>
      <c r="J30" s="151">
        <v>3</v>
      </c>
      <c r="K30" s="151"/>
      <c r="L30" s="151"/>
      <c r="M30" s="151">
        <v>3</v>
      </c>
    </row>
    <row r="31" spans="1:13" x14ac:dyDescent="0.2">
      <c r="A31" s="3" t="s">
        <v>137</v>
      </c>
      <c r="B31" s="151"/>
      <c r="C31" s="151"/>
      <c r="D31" s="151"/>
      <c r="E31" s="151">
        <v>44</v>
      </c>
      <c r="F31" s="151">
        <v>44</v>
      </c>
      <c r="H31" s="3" t="s">
        <v>85</v>
      </c>
      <c r="I31" s="151"/>
      <c r="J31" s="151">
        <v>9</v>
      </c>
      <c r="K31" s="151"/>
      <c r="L31" s="151"/>
      <c r="M31" s="151">
        <v>9</v>
      </c>
    </row>
    <row r="32" spans="1:13" x14ac:dyDescent="0.2">
      <c r="A32" s="3" t="s">
        <v>29</v>
      </c>
      <c r="B32" s="151"/>
      <c r="C32" s="151">
        <v>39</v>
      </c>
      <c r="D32" s="151"/>
      <c r="E32" s="151">
        <v>4</v>
      </c>
      <c r="F32" s="151">
        <v>43</v>
      </c>
      <c r="H32" s="3" t="s">
        <v>91</v>
      </c>
      <c r="I32" s="151"/>
      <c r="J32" s="151">
        <v>0</v>
      </c>
      <c r="K32" s="151"/>
      <c r="L32" s="151"/>
      <c r="M32" s="151">
        <v>0</v>
      </c>
    </row>
    <row r="33" spans="1:13" x14ac:dyDescent="0.2">
      <c r="A33" s="3" t="s">
        <v>111</v>
      </c>
      <c r="B33" s="151"/>
      <c r="C33" s="151">
        <v>17</v>
      </c>
      <c r="D33" s="151">
        <v>13</v>
      </c>
      <c r="E33" s="151">
        <v>13</v>
      </c>
      <c r="F33" s="151">
        <v>43</v>
      </c>
      <c r="H33" s="3" t="s">
        <v>45</v>
      </c>
      <c r="I33" s="151"/>
      <c r="J33" s="151">
        <v>3</v>
      </c>
      <c r="K33" s="151"/>
      <c r="L33" s="151"/>
      <c r="M33" s="151">
        <v>3</v>
      </c>
    </row>
    <row r="34" spans="1:13" x14ac:dyDescent="0.2">
      <c r="A34" s="3" t="s">
        <v>183</v>
      </c>
      <c r="B34" s="151"/>
      <c r="C34" s="151"/>
      <c r="D34" s="151">
        <v>43</v>
      </c>
      <c r="E34" s="151"/>
      <c r="F34" s="151">
        <v>43</v>
      </c>
      <c r="H34" s="3" t="s">
        <v>177</v>
      </c>
      <c r="I34" s="151"/>
      <c r="J34" s="151"/>
      <c r="K34" s="151"/>
      <c r="L34" s="151">
        <v>1</v>
      </c>
      <c r="M34" s="151">
        <v>1</v>
      </c>
    </row>
    <row r="35" spans="1:13" x14ac:dyDescent="0.2">
      <c r="A35" s="3" t="s">
        <v>28</v>
      </c>
      <c r="B35" s="151"/>
      <c r="C35" s="151">
        <v>37</v>
      </c>
      <c r="D35" s="151"/>
      <c r="E35" s="151">
        <v>4</v>
      </c>
      <c r="F35" s="151">
        <v>41</v>
      </c>
      <c r="H35" s="3" t="s">
        <v>122</v>
      </c>
      <c r="I35" s="151"/>
      <c r="J35" s="151"/>
      <c r="K35" s="151">
        <v>0</v>
      </c>
      <c r="L35" s="151">
        <v>0</v>
      </c>
      <c r="M35" s="151">
        <v>0</v>
      </c>
    </row>
    <row r="36" spans="1:13" x14ac:dyDescent="0.2">
      <c r="A36" s="3" t="s">
        <v>185</v>
      </c>
      <c r="B36" s="151"/>
      <c r="C36" s="151"/>
      <c r="D36" s="151">
        <v>41</v>
      </c>
      <c r="E36" s="151"/>
      <c r="F36" s="151">
        <v>41</v>
      </c>
      <c r="H36" s="3" t="s">
        <v>115</v>
      </c>
      <c r="I36" s="151"/>
      <c r="J36" s="151">
        <v>0</v>
      </c>
      <c r="K36" s="151"/>
      <c r="L36" s="151"/>
      <c r="M36" s="151">
        <v>0</v>
      </c>
    </row>
    <row r="37" spans="1:13" x14ac:dyDescent="0.2">
      <c r="A37" s="3" t="s">
        <v>109</v>
      </c>
      <c r="B37" s="151"/>
      <c r="C37" s="151">
        <v>19</v>
      </c>
      <c r="D37" s="151">
        <v>20</v>
      </c>
      <c r="E37" s="151"/>
      <c r="F37" s="151">
        <v>39</v>
      </c>
      <c r="H37" s="3" t="s">
        <v>46</v>
      </c>
      <c r="I37" s="151"/>
      <c r="J37" s="151">
        <v>3</v>
      </c>
      <c r="K37" s="151"/>
      <c r="L37" s="151"/>
      <c r="M37" s="151">
        <v>3</v>
      </c>
    </row>
    <row r="38" spans="1:13" x14ac:dyDescent="0.2">
      <c r="A38" s="3" t="s">
        <v>153</v>
      </c>
      <c r="B38" s="151"/>
      <c r="C38" s="151"/>
      <c r="D38" s="151">
        <v>3</v>
      </c>
      <c r="E38" s="151">
        <v>36</v>
      </c>
      <c r="F38" s="151">
        <v>39</v>
      </c>
      <c r="H38" s="3" t="s">
        <v>120</v>
      </c>
      <c r="I38" s="151"/>
      <c r="J38" s="151"/>
      <c r="K38" s="151">
        <v>1</v>
      </c>
      <c r="L38" s="151">
        <v>5</v>
      </c>
      <c r="M38" s="151">
        <v>6</v>
      </c>
    </row>
    <row r="39" spans="1:13" x14ac:dyDescent="0.2">
      <c r="A39" s="3" t="s">
        <v>190</v>
      </c>
      <c r="B39" s="151"/>
      <c r="C39" s="151"/>
      <c r="D39" s="151">
        <v>38</v>
      </c>
      <c r="E39" s="151"/>
      <c r="F39" s="151">
        <v>38</v>
      </c>
      <c r="H39" s="3" t="s">
        <v>141</v>
      </c>
      <c r="I39" s="151"/>
      <c r="J39" s="151"/>
      <c r="K39" s="151"/>
      <c r="L39" s="151">
        <v>1</v>
      </c>
      <c r="M39" s="151">
        <v>1</v>
      </c>
    </row>
    <row r="40" spans="1:13" x14ac:dyDescent="0.2">
      <c r="A40" s="3" t="s">
        <v>139</v>
      </c>
      <c r="B40" s="151"/>
      <c r="C40" s="151"/>
      <c r="D40" s="151"/>
      <c r="E40" s="151">
        <v>37</v>
      </c>
      <c r="F40" s="151">
        <v>37</v>
      </c>
      <c r="H40" s="3" t="s">
        <v>181</v>
      </c>
      <c r="I40" s="151"/>
      <c r="J40" s="151"/>
      <c r="K40" s="151">
        <v>0</v>
      </c>
      <c r="L40" s="151">
        <v>1</v>
      </c>
      <c r="M40" s="151">
        <v>1</v>
      </c>
    </row>
    <row r="41" spans="1:13" x14ac:dyDescent="0.2">
      <c r="A41" s="3" t="s">
        <v>33</v>
      </c>
      <c r="B41" s="151"/>
      <c r="C41" s="151">
        <v>32</v>
      </c>
      <c r="D41" s="151"/>
      <c r="E41" s="151">
        <v>4</v>
      </c>
      <c r="F41" s="151">
        <v>36</v>
      </c>
      <c r="H41" s="3" t="s">
        <v>32</v>
      </c>
      <c r="I41" s="151"/>
      <c r="J41" s="151">
        <v>5</v>
      </c>
      <c r="K41" s="151"/>
      <c r="L41" s="151">
        <v>1</v>
      </c>
      <c r="M41" s="151">
        <v>6</v>
      </c>
    </row>
    <row r="42" spans="1:13" x14ac:dyDescent="0.2">
      <c r="A42" s="3" t="s">
        <v>99</v>
      </c>
      <c r="B42" s="151">
        <v>10</v>
      </c>
      <c r="C42" s="151">
        <v>26</v>
      </c>
      <c r="D42" s="151"/>
      <c r="E42" s="151"/>
      <c r="F42" s="151">
        <v>36</v>
      </c>
      <c r="H42" s="3" t="s">
        <v>134</v>
      </c>
      <c r="I42" s="151"/>
      <c r="J42" s="151"/>
      <c r="K42" s="151"/>
      <c r="L42" s="151">
        <v>6</v>
      </c>
      <c r="M42" s="151">
        <v>6</v>
      </c>
    </row>
    <row r="43" spans="1:13" x14ac:dyDescent="0.2">
      <c r="A43" s="3" t="s">
        <v>189</v>
      </c>
      <c r="B43" s="151"/>
      <c r="C43" s="151"/>
      <c r="D43" s="151">
        <v>36</v>
      </c>
      <c r="E43" s="151"/>
      <c r="F43" s="151">
        <v>36</v>
      </c>
      <c r="H43" s="3" t="s">
        <v>148</v>
      </c>
      <c r="I43" s="151"/>
      <c r="J43" s="151"/>
      <c r="K43" s="151"/>
      <c r="L43" s="151">
        <v>28</v>
      </c>
      <c r="M43" s="151">
        <v>28</v>
      </c>
    </row>
    <row r="44" spans="1:13" x14ac:dyDescent="0.2">
      <c r="A44" s="3" t="s">
        <v>58</v>
      </c>
      <c r="B44" s="151"/>
      <c r="C44" s="151">
        <v>36</v>
      </c>
      <c r="D44" s="151"/>
      <c r="E44" s="151"/>
      <c r="F44" s="151">
        <v>36</v>
      </c>
      <c r="H44" s="3" t="s">
        <v>36</v>
      </c>
      <c r="I44" s="151"/>
      <c r="J44" s="151">
        <v>18</v>
      </c>
      <c r="K44" s="151"/>
      <c r="L44" s="151">
        <v>6</v>
      </c>
      <c r="M44" s="151">
        <v>24</v>
      </c>
    </row>
    <row r="45" spans="1:13" x14ac:dyDescent="0.2">
      <c r="A45" s="3" t="s">
        <v>172</v>
      </c>
      <c r="B45" s="151"/>
      <c r="C45" s="151"/>
      <c r="D45" s="151"/>
      <c r="E45" s="151">
        <v>35</v>
      </c>
      <c r="F45" s="151">
        <v>35</v>
      </c>
      <c r="H45" s="3" t="s">
        <v>29</v>
      </c>
      <c r="I45" s="151"/>
      <c r="J45" s="151">
        <v>11</v>
      </c>
      <c r="K45" s="151"/>
      <c r="L45" s="151">
        <v>3</v>
      </c>
      <c r="M45" s="151">
        <v>14</v>
      </c>
    </row>
    <row r="46" spans="1:13" x14ac:dyDescent="0.2">
      <c r="A46" s="3" t="s">
        <v>170</v>
      </c>
      <c r="B46" s="151"/>
      <c r="C46" s="151"/>
      <c r="D46" s="151">
        <v>1</v>
      </c>
      <c r="E46" s="151">
        <v>34</v>
      </c>
      <c r="F46" s="151">
        <v>35</v>
      </c>
      <c r="H46" s="3" t="s">
        <v>133</v>
      </c>
      <c r="I46" s="151"/>
      <c r="J46" s="151"/>
      <c r="K46" s="151"/>
      <c r="L46" s="151">
        <v>119</v>
      </c>
      <c r="M46" s="151">
        <v>119</v>
      </c>
    </row>
    <row r="47" spans="1:13" x14ac:dyDescent="0.2">
      <c r="A47" s="3" t="s">
        <v>79</v>
      </c>
      <c r="B47" s="151">
        <v>3</v>
      </c>
      <c r="C47" s="151">
        <v>32</v>
      </c>
      <c r="D47" s="151"/>
      <c r="E47" s="151"/>
      <c r="F47" s="151">
        <v>35</v>
      </c>
      <c r="H47" s="3" t="s">
        <v>81</v>
      </c>
      <c r="I47" s="151"/>
      <c r="J47" s="151">
        <v>1</v>
      </c>
      <c r="K47" s="151"/>
      <c r="L47" s="151"/>
      <c r="M47" s="151">
        <v>1</v>
      </c>
    </row>
    <row r="48" spans="1:13" x14ac:dyDescent="0.2">
      <c r="A48" s="3" t="s">
        <v>66</v>
      </c>
      <c r="B48" s="151"/>
      <c r="C48" s="151">
        <v>32</v>
      </c>
      <c r="D48" s="151"/>
      <c r="E48" s="151"/>
      <c r="F48" s="151">
        <v>32</v>
      </c>
      <c r="H48" s="3" t="s">
        <v>35</v>
      </c>
      <c r="I48" s="151"/>
      <c r="J48" s="151">
        <v>0</v>
      </c>
      <c r="K48" s="151"/>
      <c r="L48" s="151">
        <v>0</v>
      </c>
      <c r="M48" s="151">
        <v>0</v>
      </c>
    </row>
    <row r="49" spans="1:13" x14ac:dyDescent="0.2">
      <c r="A49" s="3" t="s">
        <v>171</v>
      </c>
      <c r="B49" s="151"/>
      <c r="C49" s="151"/>
      <c r="D49" s="151"/>
      <c r="E49" s="151">
        <v>32</v>
      </c>
      <c r="F49" s="151">
        <v>32</v>
      </c>
      <c r="H49" s="3" t="s">
        <v>92</v>
      </c>
      <c r="I49" s="151"/>
      <c r="J49" s="151">
        <v>0</v>
      </c>
      <c r="K49" s="151"/>
      <c r="L49" s="151"/>
      <c r="M49" s="151">
        <v>0</v>
      </c>
    </row>
    <row r="50" spans="1:13" x14ac:dyDescent="0.2">
      <c r="A50" s="3" t="s">
        <v>112</v>
      </c>
      <c r="B50" s="151"/>
      <c r="C50" s="151">
        <v>16</v>
      </c>
      <c r="D50" s="151">
        <v>15</v>
      </c>
      <c r="E50" s="151"/>
      <c r="F50" s="151">
        <v>31</v>
      </c>
      <c r="H50" s="3" t="s">
        <v>61</v>
      </c>
      <c r="I50" s="151"/>
      <c r="J50" s="151">
        <v>3</v>
      </c>
      <c r="K50" s="151"/>
      <c r="L50" s="151"/>
      <c r="M50" s="151">
        <v>3</v>
      </c>
    </row>
    <row r="51" spans="1:13" x14ac:dyDescent="0.2">
      <c r="A51" s="3" t="s">
        <v>75</v>
      </c>
      <c r="B51" s="151">
        <v>9</v>
      </c>
      <c r="C51" s="151">
        <v>21</v>
      </c>
      <c r="D51" s="151"/>
      <c r="E51" s="151"/>
      <c r="F51" s="151">
        <v>30</v>
      </c>
      <c r="H51" s="3" t="s">
        <v>174</v>
      </c>
      <c r="I51" s="151"/>
      <c r="J51" s="151"/>
      <c r="K51" s="151"/>
      <c r="L51" s="151">
        <v>0</v>
      </c>
      <c r="M51" s="151">
        <v>0</v>
      </c>
    </row>
    <row r="52" spans="1:13" x14ac:dyDescent="0.2">
      <c r="A52" s="3" t="s">
        <v>81</v>
      </c>
      <c r="B52" s="151"/>
      <c r="C52" s="151">
        <v>30</v>
      </c>
      <c r="D52" s="151"/>
      <c r="E52" s="151"/>
      <c r="F52" s="151">
        <v>30</v>
      </c>
      <c r="H52" s="3" t="s">
        <v>191</v>
      </c>
      <c r="I52" s="151"/>
      <c r="J52" s="151"/>
      <c r="K52" s="151">
        <v>1</v>
      </c>
      <c r="L52" s="151"/>
      <c r="M52" s="151">
        <v>1</v>
      </c>
    </row>
    <row r="53" spans="1:13" x14ac:dyDescent="0.2">
      <c r="A53" s="3" t="s">
        <v>32</v>
      </c>
      <c r="B53" s="151"/>
      <c r="C53" s="151">
        <v>25</v>
      </c>
      <c r="D53" s="151"/>
      <c r="E53" s="151">
        <v>4</v>
      </c>
      <c r="F53" s="151">
        <v>29</v>
      </c>
      <c r="H53" s="3" t="s">
        <v>173</v>
      </c>
      <c r="I53" s="151"/>
      <c r="J53" s="151"/>
      <c r="K53" s="151"/>
      <c r="L53" s="151">
        <v>1</v>
      </c>
      <c r="M53" s="151">
        <v>1</v>
      </c>
    </row>
    <row r="54" spans="1:13" x14ac:dyDescent="0.2">
      <c r="A54" s="3" t="s">
        <v>191</v>
      </c>
      <c r="B54" s="151"/>
      <c r="C54" s="151"/>
      <c r="D54" s="151">
        <v>29</v>
      </c>
      <c r="E54" s="151"/>
      <c r="F54" s="151">
        <v>29</v>
      </c>
      <c r="H54" s="3" t="s">
        <v>98</v>
      </c>
      <c r="I54" s="151"/>
      <c r="J54" s="151">
        <v>0</v>
      </c>
      <c r="K54" s="151"/>
      <c r="L54" s="151"/>
      <c r="M54" s="151">
        <v>0</v>
      </c>
    </row>
    <row r="55" spans="1:13" x14ac:dyDescent="0.2">
      <c r="A55" s="3" t="s">
        <v>169</v>
      </c>
      <c r="B55" s="151"/>
      <c r="C55" s="151"/>
      <c r="D55" s="151"/>
      <c r="E55" s="151">
        <v>28</v>
      </c>
      <c r="F55" s="151">
        <v>28</v>
      </c>
      <c r="H55" s="3" t="s">
        <v>121</v>
      </c>
      <c r="I55" s="151"/>
      <c r="J55" s="151"/>
      <c r="K55" s="151">
        <v>0</v>
      </c>
      <c r="L55" s="151">
        <v>0</v>
      </c>
      <c r="M55" s="151">
        <v>0</v>
      </c>
    </row>
    <row r="56" spans="1:13" x14ac:dyDescent="0.2">
      <c r="A56" s="3" t="s">
        <v>162</v>
      </c>
      <c r="B56" s="151"/>
      <c r="C56" s="151"/>
      <c r="D56" s="151"/>
      <c r="E56" s="151">
        <v>28</v>
      </c>
      <c r="F56" s="151">
        <v>28</v>
      </c>
      <c r="H56" s="3" t="s">
        <v>152</v>
      </c>
      <c r="I56" s="151"/>
      <c r="J56" s="151"/>
      <c r="K56" s="151"/>
      <c r="L56" s="151">
        <v>0</v>
      </c>
      <c r="M56" s="151">
        <v>0</v>
      </c>
    </row>
    <row r="57" spans="1:13" x14ac:dyDescent="0.2">
      <c r="A57" s="3" t="s">
        <v>57</v>
      </c>
      <c r="B57" s="151"/>
      <c r="C57" s="151">
        <v>27</v>
      </c>
      <c r="D57" s="151"/>
      <c r="E57" s="151"/>
      <c r="F57" s="151">
        <v>27</v>
      </c>
      <c r="H57" s="3" t="s">
        <v>183</v>
      </c>
      <c r="I57" s="151"/>
      <c r="J57" s="151"/>
      <c r="K57" s="151">
        <v>3</v>
      </c>
      <c r="L57" s="151"/>
      <c r="M57" s="151">
        <v>3</v>
      </c>
    </row>
    <row r="58" spans="1:13" x14ac:dyDescent="0.2">
      <c r="A58" s="3" t="s">
        <v>86</v>
      </c>
      <c r="B58" s="151">
        <v>1</v>
      </c>
      <c r="C58" s="151">
        <v>25</v>
      </c>
      <c r="D58" s="151">
        <v>1</v>
      </c>
      <c r="E58" s="151"/>
      <c r="F58" s="151">
        <v>27</v>
      </c>
      <c r="H58" s="3" t="s">
        <v>30</v>
      </c>
      <c r="I58" s="151"/>
      <c r="J58" s="151">
        <v>1</v>
      </c>
      <c r="K58" s="151"/>
      <c r="L58" s="151">
        <v>4</v>
      </c>
      <c r="M58" s="151">
        <v>5</v>
      </c>
    </row>
    <row r="59" spans="1:13" x14ac:dyDescent="0.2">
      <c r="A59" s="3" t="s">
        <v>188</v>
      </c>
      <c r="B59" s="151"/>
      <c r="C59" s="151"/>
      <c r="D59" s="151">
        <v>27</v>
      </c>
      <c r="E59" s="151"/>
      <c r="F59" s="151">
        <v>27</v>
      </c>
      <c r="H59" s="3" t="s">
        <v>162</v>
      </c>
      <c r="I59" s="151"/>
      <c r="J59" s="151"/>
      <c r="K59" s="151"/>
      <c r="L59" s="151">
        <v>3</v>
      </c>
      <c r="M59" s="151">
        <v>3</v>
      </c>
    </row>
    <row r="60" spans="1:13" x14ac:dyDescent="0.2">
      <c r="A60" s="3" t="s">
        <v>31</v>
      </c>
      <c r="B60" s="151">
        <v>4</v>
      </c>
      <c r="C60" s="151">
        <v>17</v>
      </c>
      <c r="D60" s="151"/>
      <c r="E60" s="151">
        <v>4</v>
      </c>
      <c r="F60" s="151">
        <v>25</v>
      </c>
      <c r="H60" s="3" t="s">
        <v>47</v>
      </c>
      <c r="I60" s="151"/>
      <c r="J60" s="151">
        <v>1</v>
      </c>
      <c r="K60" s="151"/>
      <c r="L60" s="151"/>
      <c r="M60" s="151">
        <v>1</v>
      </c>
    </row>
    <row r="61" spans="1:13" x14ac:dyDescent="0.2">
      <c r="A61" s="3" t="s">
        <v>113</v>
      </c>
      <c r="B61" s="151"/>
      <c r="C61" s="151">
        <v>11</v>
      </c>
      <c r="D61" s="151">
        <v>14</v>
      </c>
      <c r="E61" s="151"/>
      <c r="F61" s="151">
        <v>25</v>
      </c>
      <c r="H61" s="3" t="s">
        <v>60</v>
      </c>
      <c r="I61" s="151"/>
      <c r="J61" s="151">
        <v>0</v>
      </c>
      <c r="K61" s="151"/>
      <c r="L61" s="151"/>
      <c r="M61" s="151">
        <v>0</v>
      </c>
    </row>
    <row r="62" spans="1:13" x14ac:dyDescent="0.2">
      <c r="A62" s="3" t="s">
        <v>48</v>
      </c>
      <c r="B62" s="151"/>
      <c r="C62" s="151">
        <v>24</v>
      </c>
      <c r="D62" s="151"/>
      <c r="E62" s="151"/>
      <c r="F62" s="151">
        <v>24</v>
      </c>
      <c r="H62" s="3" t="s">
        <v>144</v>
      </c>
      <c r="I62" s="151"/>
      <c r="J62" s="151"/>
      <c r="K62" s="151"/>
      <c r="L62" s="151">
        <v>0</v>
      </c>
      <c r="M62" s="151">
        <v>0</v>
      </c>
    </row>
    <row r="63" spans="1:13" x14ac:dyDescent="0.2">
      <c r="A63" s="3" t="s">
        <v>193</v>
      </c>
      <c r="B63" s="151"/>
      <c r="C63" s="151"/>
      <c r="D63" s="151">
        <v>23</v>
      </c>
      <c r="E63" s="151"/>
      <c r="F63" s="151">
        <v>23</v>
      </c>
      <c r="H63" s="3" t="s">
        <v>169</v>
      </c>
      <c r="I63" s="151"/>
      <c r="J63" s="151"/>
      <c r="K63" s="151"/>
      <c r="L63" s="151">
        <v>9</v>
      </c>
      <c r="M63" s="151">
        <v>9</v>
      </c>
    </row>
    <row r="64" spans="1:13" x14ac:dyDescent="0.2">
      <c r="A64" s="3" t="s">
        <v>187</v>
      </c>
      <c r="B64" s="151"/>
      <c r="C64" s="151"/>
      <c r="D64" s="151">
        <v>23</v>
      </c>
      <c r="E64" s="151"/>
      <c r="F64" s="151">
        <v>23</v>
      </c>
      <c r="H64" s="3" t="s">
        <v>88</v>
      </c>
      <c r="I64" s="151"/>
      <c r="J64" s="151">
        <v>0</v>
      </c>
      <c r="K64" s="151"/>
      <c r="L64" s="151"/>
      <c r="M64" s="151">
        <v>0</v>
      </c>
    </row>
    <row r="65" spans="1:13" x14ac:dyDescent="0.2">
      <c r="A65" s="3" t="s">
        <v>132</v>
      </c>
      <c r="B65" s="151"/>
      <c r="C65" s="151"/>
      <c r="D65" s="151"/>
      <c r="E65" s="151">
        <v>23</v>
      </c>
      <c r="F65" s="151">
        <v>23</v>
      </c>
      <c r="H65" s="3" t="s">
        <v>68</v>
      </c>
      <c r="I65" s="151"/>
      <c r="J65" s="151">
        <v>0</v>
      </c>
      <c r="K65" s="151"/>
      <c r="L65" s="151"/>
      <c r="M65" s="151">
        <v>0</v>
      </c>
    </row>
    <row r="66" spans="1:13" x14ac:dyDescent="0.2">
      <c r="A66" s="3" t="s">
        <v>62</v>
      </c>
      <c r="B66" s="151"/>
      <c r="C66" s="151">
        <v>23</v>
      </c>
      <c r="D66" s="151"/>
      <c r="E66" s="151"/>
      <c r="F66" s="151">
        <v>23</v>
      </c>
      <c r="H66" s="3" t="s">
        <v>99</v>
      </c>
      <c r="I66" s="151">
        <v>0</v>
      </c>
      <c r="J66" s="151">
        <v>4</v>
      </c>
      <c r="K66" s="151"/>
      <c r="L66" s="151"/>
      <c r="M66" s="151">
        <v>4</v>
      </c>
    </row>
    <row r="67" spans="1:13" x14ac:dyDescent="0.2">
      <c r="A67" s="3" t="s">
        <v>134</v>
      </c>
      <c r="B67" s="151"/>
      <c r="C67" s="151"/>
      <c r="D67" s="151"/>
      <c r="E67" s="151">
        <v>23</v>
      </c>
      <c r="F67" s="151">
        <v>23</v>
      </c>
      <c r="H67" s="3" t="s">
        <v>195</v>
      </c>
      <c r="I67" s="151"/>
      <c r="J67" s="151"/>
      <c r="K67" s="151">
        <v>0</v>
      </c>
      <c r="L67" s="151"/>
      <c r="M67" s="151">
        <v>0</v>
      </c>
    </row>
    <row r="68" spans="1:13" x14ac:dyDescent="0.2">
      <c r="A68" s="3" t="s">
        <v>186</v>
      </c>
      <c r="B68" s="151"/>
      <c r="C68" s="151"/>
      <c r="D68" s="151">
        <v>23</v>
      </c>
      <c r="E68" s="151"/>
      <c r="F68" s="151">
        <v>23</v>
      </c>
      <c r="H68" s="3" t="s">
        <v>140</v>
      </c>
      <c r="I68" s="151"/>
      <c r="J68" s="151"/>
      <c r="K68" s="151"/>
      <c r="L68" s="151">
        <v>1</v>
      </c>
      <c r="M68" s="151">
        <v>1</v>
      </c>
    </row>
    <row r="69" spans="1:13" x14ac:dyDescent="0.2">
      <c r="A69" s="3" t="s">
        <v>61</v>
      </c>
      <c r="B69" s="151"/>
      <c r="C69" s="151">
        <v>22</v>
      </c>
      <c r="D69" s="151"/>
      <c r="E69" s="151"/>
      <c r="F69" s="151">
        <v>22</v>
      </c>
      <c r="H69" s="3" t="s">
        <v>138</v>
      </c>
      <c r="I69" s="151"/>
      <c r="J69" s="151"/>
      <c r="K69" s="151"/>
      <c r="L69" s="151">
        <v>4</v>
      </c>
      <c r="M69" s="151">
        <v>4</v>
      </c>
    </row>
    <row r="70" spans="1:13" x14ac:dyDescent="0.2">
      <c r="A70" s="3" t="s">
        <v>148</v>
      </c>
      <c r="B70" s="151"/>
      <c r="C70" s="151"/>
      <c r="D70" s="151"/>
      <c r="E70" s="151">
        <v>22</v>
      </c>
      <c r="F70" s="151">
        <v>22</v>
      </c>
      <c r="H70" s="3" t="s">
        <v>143</v>
      </c>
      <c r="I70" s="151"/>
      <c r="J70" s="151"/>
      <c r="K70" s="151"/>
      <c r="L70" s="151">
        <v>0</v>
      </c>
      <c r="M70" s="151">
        <v>0</v>
      </c>
    </row>
    <row r="71" spans="1:13" x14ac:dyDescent="0.2">
      <c r="A71" s="3" t="s">
        <v>40</v>
      </c>
      <c r="B71" s="151"/>
      <c r="C71" s="151">
        <v>22</v>
      </c>
      <c r="D71" s="151"/>
      <c r="E71" s="151">
        <v>0</v>
      </c>
      <c r="F71" s="151">
        <v>22</v>
      </c>
      <c r="H71" s="3" t="s">
        <v>200</v>
      </c>
      <c r="I71" s="151"/>
      <c r="J71" s="151"/>
      <c r="K71" s="151">
        <v>0</v>
      </c>
      <c r="L71" s="151"/>
      <c r="M71" s="151">
        <v>0</v>
      </c>
    </row>
    <row r="72" spans="1:13" x14ac:dyDescent="0.2">
      <c r="A72" s="3" t="s">
        <v>177</v>
      </c>
      <c r="B72" s="151"/>
      <c r="C72" s="151"/>
      <c r="D72" s="151"/>
      <c r="E72" s="151">
        <v>22</v>
      </c>
      <c r="F72" s="151">
        <v>22</v>
      </c>
      <c r="H72" s="3" t="s">
        <v>212</v>
      </c>
      <c r="I72" s="151"/>
      <c r="J72" s="151"/>
      <c r="K72" s="151"/>
      <c r="L72" s="151"/>
      <c r="M72" s="151"/>
    </row>
    <row r="73" spans="1:13" x14ac:dyDescent="0.2">
      <c r="A73" s="3" t="s">
        <v>176</v>
      </c>
      <c r="B73" s="151"/>
      <c r="C73" s="151"/>
      <c r="D73" s="151"/>
      <c r="E73" s="151">
        <v>22</v>
      </c>
      <c r="F73" s="151">
        <v>22</v>
      </c>
      <c r="H73" s="3" t="s">
        <v>194</v>
      </c>
      <c r="I73" s="151"/>
      <c r="J73" s="151"/>
      <c r="K73" s="151">
        <v>10</v>
      </c>
      <c r="L73" s="151"/>
      <c r="M73" s="151">
        <v>10</v>
      </c>
    </row>
    <row r="74" spans="1:13" x14ac:dyDescent="0.2">
      <c r="A74" s="3" t="s">
        <v>194</v>
      </c>
      <c r="B74" s="151"/>
      <c r="C74" s="151"/>
      <c r="D74" s="151">
        <v>21</v>
      </c>
      <c r="E74" s="151"/>
      <c r="F74" s="151">
        <v>21</v>
      </c>
      <c r="H74" s="3" t="s">
        <v>205</v>
      </c>
      <c r="I74" s="151"/>
      <c r="J74" s="151"/>
      <c r="K74" s="151">
        <v>3</v>
      </c>
      <c r="L74" s="151"/>
      <c r="M74" s="151">
        <v>3</v>
      </c>
    </row>
    <row r="75" spans="1:13" x14ac:dyDescent="0.2">
      <c r="A75" s="3" t="s">
        <v>60</v>
      </c>
      <c r="B75" s="151"/>
      <c r="C75" s="151">
        <v>21</v>
      </c>
      <c r="D75" s="151"/>
      <c r="E75" s="151"/>
      <c r="F75" s="151">
        <v>21</v>
      </c>
      <c r="H75" s="3" t="s">
        <v>113</v>
      </c>
      <c r="I75" s="151"/>
      <c r="J75" s="151">
        <v>0</v>
      </c>
      <c r="K75" s="151">
        <v>0</v>
      </c>
      <c r="L75" s="151"/>
      <c r="M75" s="151">
        <v>0</v>
      </c>
    </row>
    <row r="76" spans="1:13" x14ac:dyDescent="0.2">
      <c r="A76" s="3" t="s">
        <v>39</v>
      </c>
      <c r="B76" s="151"/>
      <c r="C76" s="151">
        <v>21</v>
      </c>
      <c r="D76" s="151"/>
      <c r="E76" s="151">
        <v>0</v>
      </c>
      <c r="F76" s="151">
        <v>21</v>
      </c>
      <c r="H76" s="3" t="s">
        <v>66</v>
      </c>
      <c r="I76" s="151"/>
      <c r="J76" s="151">
        <v>1</v>
      </c>
      <c r="K76" s="151"/>
      <c r="L76" s="151"/>
      <c r="M76" s="151">
        <v>1</v>
      </c>
    </row>
    <row r="77" spans="1:13" x14ac:dyDescent="0.2">
      <c r="A77" s="3" t="s">
        <v>76</v>
      </c>
      <c r="B77" s="151"/>
      <c r="C77" s="151">
        <v>21</v>
      </c>
      <c r="D77" s="151"/>
      <c r="E77" s="151"/>
      <c r="F77" s="151">
        <v>21</v>
      </c>
      <c r="H77" s="3" t="s">
        <v>72</v>
      </c>
      <c r="I77" s="151"/>
      <c r="J77" s="151">
        <v>4</v>
      </c>
      <c r="K77" s="151"/>
      <c r="L77" s="151"/>
      <c r="M77" s="151">
        <v>4</v>
      </c>
    </row>
    <row r="78" spans="1:13" x14ac:dyDescent="0.2">
      <c r="A78" s="3" t="s">
        <v>138</v>
      </c>
      <c r="B78" s="151"/>
      <c r="C78" s="151"/>
      <c r="D78" s="151"/>
      <c r="E78" s="151">
        <v>20</v>
      </c>
      <c r="F78" s="151">
        <v>20</v>
      </c>
      <c r="H78" s="3" t="s">
        <v>176</v>
      </c>
      <c r="I78" s="151"/>
      <c r="J78" s="151"/>
      <c r="K78" s="151"/>
      <c r="L78" s="151">
        <v>4</v>
      </c>
      <c r="M78" s="151">
        <v>4</v>
      </c>
    </row>
    <row r="79" spans="1:13" x14ac:dyDescent="0.2">
      <c r="A79" s="3" t="s">
        <v>199</v>
      </c>
      <c r="B79" s="151"/>
      <c r="C79" s="151"/>
      <c r="D79" s="151">
        <v>20</v>
      </c>
      <c r="E79" s="151"/>
      <c r="F79" s="151">
        <v>20</v>
      </c>
      <c r="H79" s="3" t="s">
        <v>89</v>
      </c>
      <c r="I79" s="151">
        <v>0</v>
      </c>
      <c r="J79" s="151">
        <v>8</v>
      </c>
      <c r="K79" s="151">
        <v>3</v>
      </c>
      <c r="L79" s="151"/>
      <c r="M79" s="151">
        <v>11</v>
      </c>
    </row>
    <row r="80" spans="1:13" x14ac:dyDescent="0.2">
      <c r="A80" s="3" t="s">
        <v>122</v>
      </c>
      <c r="B80" s="151"/>
      <c r="C80" s="151"/>
      <c r="D80" s="151">
        <v>8</v>
      </c>
      <c r="E80" s="151">
        <v>12</v>
      </c>
      <c r="F80" s="151">
        <v>20</v>
      </c>
      <c r="H80" s="3" t="s">
        <v>53</v>
      </c>
      <c r="I80" s="151"/>
      <c r="J80" s="151">
        <v>0</v>
      </c>
      <c r="K80" s="151"/>
      <c r="L80" s="151"/>
      <c r="M80" s="151">
        <v>0</v>
      </c>
    </row>
    <row r="81" spans="1:13" x14ac:dyDescent="0.2">
      <c r="A81" s="3" t="s">
        <v>150</v>
      </c>
      <c r="B81" s="151"/>
      <c r="C81" s="151"/>
      <c r="D81" s="151"/>
      <c r="E81" s="151">
        <v>19</v>
      </c>
      <c r="F81" s="151">
        <v>19</v>
      </c>
      <c r="H81" s="3" t="s">
        <v>28</v>
      </c>
      <c r="I81" s="151"/>
      <c r="J81" s="151">
        <v>5</v>
      </c>
      <c r="K81" s="151"/>
      <c r="L81" s="151">
        <v>0</v>
      </c>
      <c r="M81" s="151">
        <v>5</v>
      </c>
    </row>
    <row r="82" spans="1:13" x14ac:dyDescent="0.2">
      <c r="A82" s="3" t="s">
        <v>106</v>
      </c>
      <c r="B82" s="151"/>
      <c r="C82" s="151">
        <v>19</v>
      </c>
      <c r="D82" s="151"/>
      <c r="E82" s="151"/>
      <c r="F82" s="151">
        <v>19</v>
      </c>
      <c r="H82" s="3" t="s">
        <v>135</v>
      </c>
      <c r="I82" s="151"/>
      <c r="J82" s="151"/>
      <c r="K82" s="151">
        <v>0</v>
      </c>
      <c r="L82" s="151">
        <v>6</v>
      </c>
      <c r="M82" s="151">
        <v>6</v>
      </c>
    </row>
    <row r="83" spans="1:13" x14ac:dyDescent="0.2">
      <c r="A83" s="3" t="s">
        <v>161</v>
      </c>
      <c r="B83" s="151"/>
      <c r="C83" s="151"/>
      <c r="D83" s="151"/>
      <c r="E83" s="151">
        <v>19</v>
      </c>
      <c r="F83" s="151">
        <v>19</v>
      </c>
      <c r="H83" s="3" t="s">
        <v>198</v>
      </c>
      <c r="I83" s="151"/>
      <c r="J83" s="151"/>
      <c r="K83" s="151">
        <v>0</v>
      </c>
      <c r="L83" s="151"/>
      <c r="M83" s="151">
        <v>0</v>
      </c>
    </row>
    <row r="84" spans="1:13" x14ac:dyDescent="0.2">
      <c r="A84" s="3" t="s">
        <v>85</v>
      </c>
      <c r="B84" s="151"/>
      <c r="C84" s="151">
        <v>19</v>
      </c>
      <c r="D84" s="151"/>
      <c r="E84" s="151"/>
      <c r="F84" s="151">
        <v>19</v>
      </c>
      <c r="H84" s="3" t="s">
        <v>73</v>
      </c>
      <c r="I84" s="151"/>
      <c r="J84" s="151">
        <v>1</v>
      </c>
      <c r="K84" s="151"/>
      <c r="L84" s="151"/>
      <c r="M84" s="151">
        <v>1</v>
      </c>
    </row>
    <row r="85" spans="1:13" x14ac:dyDescent="0.2">
      <c r="A85" s="3" t="s">
        <v>124</v>
      </c>
      <c r="B85" s="151"/>
      <c r="C85" s="151"/>
      <c r="D85" s="151">
        <v>7</v>
      </c>
      <c r="E85" s="151">
        <v>11</v>
      </c>
      <c r="F85" s="151">
        <v>18</v>
      </c>
      <c r="H85" s="3" t="s">
        <v>158</v>
      </c>
      <c r="I85" s="151"/>
      <c r="J85" s="151"/>
      <c r="K85" s="151"/>
      <c r="L85" s="151">
        <v>1</v>
      </c>
      <c r="M85" s="151">
        <v>1</v>
      </c>
    </row>
    <row r="86" spans="1:13" x14ac:dyDescent="0.2">
      <c r="A86" s="3" t="s">
        <v>121</v>
      </c>
      <c r="B86" s="151"/>
      <c r="C86" s="151"/>
      <c r="D86" s="151">
        <v>10</v>
      </c>
      <c r="E86" s="151">
        <v>7</v>
      </c>
      <c r="F86" s="151">
        <v>17</v>
      </c>
      <c r="H86" s="3" t="s">
        <v>71</v>
      </c>
      <c r="I86" s="151">
        <v>0</v>
      </c>
      <c r="J86" s="151">
        <v>0</v>
      </c>
      <c r="K86" s="151"/>
      <c r="L86" s="151"/>
      <c r="M86" s="151">
        <v>0</v>
      </c>
    </row>
    <row r="87" spans="1:13" x14ac:dyDescent="0.2">
      <c r="A87" s="3" t="s">
        <v>140</v>
      </c>
      <c r="B87" s="151"/>
      <c r="C87" s="151"/>
      <c r="D87" s="151"/>
      <c r="E87" s="151">
        <v>17</v>
      </c>
      <c r="F87" s="151">
        <v>17</v>
      </c>
      <c r="H87" s="3" t="s">
        <v>125</v>
      </c>
      <c r="I87" s="151"/>
      <c r="J87" s="151"/>
      <c r="K87" s="151">
        <v>1</v>
      </c>
      <c r="L87" s="151">
        <v>1</v>
      </c>
      <c r="M87" s="151">
        <v>2</v>
      </c>
    </row>
    <row r="88" spans="1:13" x14ac:dyDescent="0.2">
      <c r="A88" s="3" t="s">
        <v>129</v>
      </c>
      <c r="B88" s="151"/>
      <c r="C88" s="151"/>
      <c r="D88" s="151">
        <v>1</v>
      </c>
      <c r="E88" s="151">
        <v>16</v>
      </c>
      <c r="F88" s="151">
        <v>17</v>
      </c>
      <c r="H88" s="3" t="s">
        <v>188</v>
      </c>
      <c r="I88" s="151"/>
      <c r="J88" s="151"/>
      <c r="K88" s="151">
        <v>3</v>
      </c>
      <c r="L88" s="151"/>
      <c r="M88" s="151">
        <v>3</v>
      </c>
    </row>
    <row r="89" spans="1:13" x14ac:dyDescent="0.2">
      <c r="A89" s="3" t="s">
        <v>107</v>
      </c>
      <c r="B89" s="151"/>
      <c r="C89" s="151">
        <v>17</v>
      </c>
      <c r="D89" s="151"/>
      <c r="E89" s="151"/>
      <c r="F89" s="151">
        <v>17</v>
      </c>
      <c r="H89" s="3" t="s">
        <v>54</v>
      </c>
      <c r="I89" s="151"/>
      <c r="J89" s="151">
        <v>0</v>
      </c>
      <c r="K89" s="151"/>
      <c r="L89" s="151"/>
      <c r="M89" s="151">
        <v>0</v>
      </c>
    </row>
    <row r="90" spans="1:13" x14ac:dyDescent="0.2">
      <c r="A90" s="3" t="s">
        <v>26</v>
      </c>
      <c r="B90" s="151"/>
      <c r="C90" s="151">
        <v>12</v>
      </c>
      <c r="D90" s="151"/>
      <c r="E90" s="151">
        <v>4</v>
      </c>
      <c r="F90" s="151">
        <v>16</v>
      </c>
      <c r="H90" s="3" t="s">
        <v>59</v>
      </c>
      <c r="I90" s="151">
        <v>0</v>
      </c>
      <c r="J90" s="151">
        <v>6</v>
      </c>
      <c r="K90" s="151"/>
      <c r="L90" s="151"/>
      <c r="M90" s="151">
        <v>6</v>
      </c>
    </row>
    <row r="91" spans="1:13" x14ac:dyDescent="0.2">
      <c r="A91" s="3" t="s">
        <v>200</v>
      </c>
      <c r="B91" s="151"/>
      <c r="C91" s="151"/>
      <c r="D91" s="151">
        <v>16</v>
      </c>
      <c r="E91" s="151"/>
      <c r="F91" s="151">
        <v>16</v>
      </c>
      <c r="H91" s="3" t="s">
        <v>116</v>
      </c>
      <c r="I91" s="151"/>
      <c r="J91" s="151">
        <v>0</v>
      </c>
      <c r="K91" s="151"/>
      <c r="L91" s="151"/>
      <c r="M91" s="151">
        <v>0</v>
      </c>
    </row>
    <row r="92" spans="1:13" x14ac:dyDescent="0.2">
      <c r="A92" s="3" t="s">
        <v>102</v>
      </c>
      <c r="B92" s="151">
        <v>4</v>
      </c>
      <c r="C92" s="151">
        <v>9</v>
      </c>
      <c r="D92" s="151">
        <v>3</v>
      </c>
      <c r="E92" s="151"/>
      <c r="F92" s="151">
        <v>16</v>
      </c>
      <c r="H92" s="3" t="s">
        <v>103</v>
      </c>
      <c r="I92" s="151">
        <v>0</v>
      </c>
      <c r="J92" s="151"/>
      <c r="K92" s="151"/>
      <c r="L92" s="151"/>
      <c r="M92" s="151">
        <v>0</v>
      </c>
    </row>
    <row r="93" spans="1:13" x14ac:dyDescent="0.2">
      <c r="A93" s="3" t="s">
        <v>147</v>
      </c>
      <c r="B93" s="151"/>
      <c r="C93" s="151"/>
      <c r="D93" s="151"/>
      <c r="E93" s="151">
        <v>15</v>
      </c>
      <c r="F93" s="151">
        <v>15</v>
      </c>
      <c r="H93" s="3" t="s">
        <v>161</v>
      </c>
      <c r="I93" s="151"/>
      <c r="J93" s="151"/>
      <c r="K93" s="151"/>
      <c r="L93" s="151">
        <v>0</v>
      </c>
      <c r="M93" s="151">
        <v>0</v>
      </c>
    </row>
    <row r="94" spans="1:13" x14ac:dyDescent="0.2">
      <c r="A94" s="3" t="s">
        <v>149</v>
      </c>
      <c r="B94" s="151"/>
      <c r="C94" s="151"/>
      <c r="D94" s="151"/>
      <c r="E94" s="151">
        <v>14</v>
      </c>
      <c r="F94" s="151">
        <v>14</v>
      </c>
      <c r="H94" s="3" t="s">
        <v>139</v>
      </c>
      <c r="I94" s="151"/>
      <c r="J94" s="151"/>
      <c r="K94" s="151"/>
      <c r="L94" s="151">
        <v>14</v>
      </c>
      <c r="M94" s="151">
        <v>14</v>
      </c>
    </row>
    <row r="95" spans="1:13" x14ac:dyDescent="0.2">
      <c r="A95" s="3" t="s">
        <v>97</v>
      </c>
      <c r="B95" s="151"/>
      <c r="C95" s="151">
        <v>2</v>
      </c>
      <c r="D95" s="151"/>
      <c r="E95" s="151">
        <v>12</v>
      </c>
      <c r="F95" s="151">
        <v>14</v>
      </c>
      <c r="H95" s="3" t="s">
        <v>172</v>
      </c>
      <c r="I95" s="151"/>
      <c r="J95" s="151"/>
      <c r="K95" s="151"/>
      <c r="L95" s="151">
        <v>0</v>
      </c>
      <c r="M95" s="151">
        <v>0</v>
      </c>
    </row>
    <row r="96" spans="1:13" x14ac:dyDescent="0.2">
      <c r="A96" s="3" t="s">
        <v>117</v>
      </c>
      <c r="B96" s="151"/>
      <c r="C96" s="151"/>
      <c r="D96" s="151">
        <v>14</v>
      </c>
      <c r="E96" s="151"/>
      <c r="F96" s="151">
        <v>14</v>
      </c>
      <c r="H96" s="3" t="s">
        <v>178</v>
      </c>
      <c r="I96" s="151"/>
      <c r="J96" s="151"/>
      <c r="K96" s="151"/>
      <c r="L96" s="151">
        <v>0</v>
      </c>
      <c r="M96" s="151">
        <v>0</v>
      </c>
    </row>
    <row r="97" spans="1:13" x14ac:dyDescent="0.2">
      <c r="A97" s="3" t="s">
        <v>73</v>
      </c>
      <c r="B97" s="151"/>
      <c r="C97" s="151">
        <v>14</v>
      </c>
      <c r="D97" s="151"/>
      <c r="E97" s="151"/>
      <c r="F97" s="151">
        <v>14</v>
      </c>
      <c r="H97" s="3" t="s">
        <v>186</v>
      </c>
      <c r="I97" s="151"/>
      <c r="J97" s="151"/>
      <c r="K97" s="151">
        <v>1</v>
      </c>
      <c r="L97" s="151"/>
      <c r="M97" s="151">
        <v>1</v>
      </c>
    </row>
    <row r="98" spans="1:13" x14ac:dyDescent="0.2">
      <c r="A98" s="3" t="s">
        <v>72</v>
      </c>
      <c r="B98" s="151"/>
      <c r="C98" s="151">
        <v>14</v>
      </c>
      <c r="D98" s="151"/>
      <c r="E98" s="151"/>
      <c r="F98" s="151">
        <v>14</v>
      </c>
      <c r="H98" s="3" t="s">
        <v>142</v>
      </c>
      <c r="I98" s="151"/>
      <c r="J98" s="151"/>
      <c r="K98" s="151"/>
      <c r="L98" s="151">
        <v>0</v>
      </c>
      <c r="M98" s="151">
        <v>0</v>
      </c>
    </row>
    <row r="99" spans="1:13" x14ac:dyDescent="0.2">
      <c r="A99" s="3" t="s">
        <v>120</v>
      </c>
      <c r="B99" s="151"/>
      <c r="C99" s="151"/>
      <c r="D99" s="151">
        <v>10</v>
      </c>
      <c r="E99" s="151">
        <v>3</v>
      </c>
      <c r="F99" s="151">
        <v>13</v>
      </c>
      <c r="H99" s="3" t="s">
        <v>34</v>
      </c>
      <c r="I99" s="151">
        <v>2</v>
      </c>
      <c r="J99" s="151">
        <v>94</v>
      </c>
      <c r="K99" s="151"/>
      <c r="L99" s="151">
        <v>7</v>
      </c>
      <c r="M99" s="151">
        <v>103</v>
      </c>
    </row>
    <row r="100" spans="1:13" x14ac:dyDescent="0.2">
      <c r="A100" s="3" t="s">
        <v>131</v>
      </c>
      <c r="B100" s="151"/>
      <c r="C100" s="151"/>
      <c r="D100" s="151">
        <v>1</v>
      </c>
      <c r="E100" s="151">
        <v>12</v>
      </c>
      <c r="F100" s="151">
        <v>13</v>
      </c>
      <c r="H100" s="3" t="s">
        <v>102</v>
      </c>
      <c r="I100" s="151">
        <v>0</v>
      </c>
      <c r="J100" s="151">
        <v>0</v>
      </c>
      <c r="K100" s="151">
        <v>0</v>
      </c>
      <c r="L100" s="151"/>
      <c r="M100" s="151">
        <v>0</v>
      </c>
    </row>
    <row r="101" spans="1:13" x14ac:dyDescent="0.2">
      <c r="A101" s="3" t="s">
        <v>192</v>
      </c>
      <c r="B101" s="151"/>
      <c r="C101" s="151"/>
      <c r="D101" s="151">
        <v>13</v>
      </c>
      <c r="E101" s="151"/>
      <c r="F101" s="151">
        <v>13</v>
      </c>
      <c r="H101" s="3" t="s">
        <v>206</v>
      </c>
      <c r="I101" s="151"/>
      <c r="J101" s="151"/>
      <c r="K101" s="151">
        <v>1</v>
      </c>
      <c r="L101" s="151"/>
      <c r="M101" s="151">
        <v>1</v>
      </c>
    </row>
    <row r="102" spans="1:13" x14ac:dyDescent="0.2">
      <c r="A102" s="3" t="s">
        <v>118</v>
      </c>
      <c r="B102" s="151"/>
      <c r="C102" s="151"/>
      <c r="D102" s="151">
        <v>13</v>
      </c>
      <c r="E102" s="151"/>
      <c r="F102" s="151">
        <v>13</v>
      </c>
      <c r="H102" s="3" t="s">
        <v>147</v>
      </c>
      <c r="I102" s="151"/>
      <c r="J102" s="151"/>
      <c r="K102" s="151"/>
      <c r="L102" s="151">
        <v>0</v>
      </c>
      <c r="M102" s="151">
        <v>0</v>
      </c>
    </row>
    <row r="103" spans="1:13" x14ac:dyDescent="0.2">
      <c r="A103" s="3" t="s">
        <v>130</v>
      </c>
      <c r="B103" s="151"/>
      <c r="C103" s="151"/>
      <c r="D103" s="151">
        <v>1</v>
      </c>
      <c r="E103" s="151">
        <v>12</v>
      </c>
      <c r="F103" s="151">
        <v>13</v>
      </c>
      <c r="H103" s="3" t="s">
        <v>119</v>
      </c>
      <c r="I103" s="151"/>
      <c r="J103" s="151"/>
      <c r="K103" s="151">
        <v>1</v>
      </c>
      <c r="L103" s="151">
        <v>0</v>
      </c>
      <c r="M103" s="151">
        <v>1</v>
      </c>
    </row>
    <row r="104" spans="1:13" x14ac:dyDescent="0.2">
      <c r="A104" s="3" t="s">
        <v>119</v>
      </c>
      <c r="B104" s="151"/>
      <c r="C104" s="151"/>
      <c r="D104" s="151">
        <v>10</v>
      </c>
      <c r="E104" s="151">
        <v>2</v>
      </c>
      <c r="F104" s="151">
        <v>12</v>
      </c>
      <c r="H104" s="3" t="s">
        <v>184</v>
      </c>
      <c r="I104" s="151"/>
      <c r="J104" s="151"/>
      <c r="K104" s="151">
        <v>10</v>
      </c>
      <c r="L104" s="151"/>
      <c r="M104" s="151">
        <v>10</v>
      </c>
    </row>
    <row r="105" spans="1:13" x14ac:dyDescent="0.2">
      <c r="A105" s="3" t="s">
        <v>151</v>
      </c>
      <c r="B105" s="151"/>
      <c r="C105" s="151"/>
      <c r="D105" s="151"/>
      <c r="E105" s="151">
        <v>12</v>
      </c>
      <c r="F105" s="151">
        <v>12</v>
      </c>
      <c r="H105" s="3" t="s">
        <v>383</v>
      </c>
      <c r="I105" s="151"/>
      <c r="J105" s="151"/>
      <c r="K105" s="151"/>
      <c r="L105" s="151">
        <v>2</v>
      </c>
      <c r="M105" s="151">
        <v>2</v>
      </c>
    </row>
    <row r="106" spans="1:13" x14ac:dyDescent="0.2">
      <c r="A106" s="3" t="s">
        <v>94</v>
      </c>
      <c r="B106" s="151">
        <v>4</v>
      </c>
      <c r="C106" s="151">
        <v>4</v>
      </c>
      <c r="D106" s="151"/>
      <c r="E106" s="151">
        <v>4</v>
      </c>
      <c r="F106" s="151">
        <v>12</v>
      </c>
      <c r="H106" s="3" t="s">
        <v>197</v>
      </c>
      <c r="I106" s="151"/>
      <c r="J106" s="151"/>
      <c r="K106" s="151">
        <v>0</v>
      </c>
      <c r="L106" s="151"/>
      <c r="M106" s="151">
        <v>0</v>
      </c>
    </row>
    <row r="107" spans="1:13" x14ac:dyDescent="0.2">
      <c r="A107" s="3" t="s">
        <v>42</v>
      </c>
      <c r="B107" s="151"/>
      <c r="C107" s="151">
        <v>7</v>
      </c>
      <c r="D107" s="151"/>
      <c r="E107" s="151">
        <v>4</v>
      </c>
      <c r="F107" s="151">
        <v>11</v>
      </c>
      <c r="H107" s="3" t="s">
        <v>136</v>
      </c>
      <c r="I107" s="151"/>
      <c r="J107" s="151"/>
      <c r="K107" s="151"/>
      <c r="L107" s="151">
        <v>1</v>
      </c>
      <c r="M107" s="151">
        <v>1</v>
      </c>
    </row>
    <row r="108" spans="1:13" x14ac:dyDescent="0.2">
      <c r="A108" s="3" t="s">
        <v>152</v>
      </c>
      <c r="B108" s="151"/>
      <c r="C108" s="151"/>
      <c r="D108" s="151"/>
      <c r="E108" s="151">
        <v>11</v>
      </c>
      <c r="F108" s="151">
        <v>11</v>
      </c>
      <c r="H108" s="3" t="s">
        <v>201</v>
      </c>
      <c r="I108" s="151"/>
      <c r="J108" s="151"/>
      <c r="K108" s="151">
        <v>0</v>
      </c>
      <c r="L108" s="151"/>
      <c r="M108" s="151">
        <v>0</v>
      </c>
    </row>
    <row r="109" spans="1:13" x14ac:dyDescent="0.2">
      <c r="A109" s="3" t="s">
        <v>164</v>
      </c>
      <c r="B109" s="151"/>
      <c r="C109" s="151"/>
      <c r="D109" s="151"/>
      <c r="E109" s="151">
        <v>11</v>
      </c>
      <c r="F109" s="151">
        <v>11</v>
      </c>
      <c r="H109" s="3" t="s">
        <v>79</v>
      </c>
      <c r="I109" s="151">
        <v>0</v>
      </c>
      <c r="J109" s="151">
        <v>1</v>
      </c>
      <c r="K109" s="151"/>
      <c r="L109" s="151"/>
      <c r="M109" s="151">
        <v>1</v>
      </c>
    </row>
    <row r="110" spans="1:13" x14ac:dyDescent="0.2">
      <c r="A110" s="3" t="s">
        <v>201</v>
      </c>
      <c r="B110" s="151"/>
      <c r="C110" s="151"/>
      <c r="D110" s="151">
        <v>10</v>
      </c>
      <c r="E110" s="151"/>
      <c r="F110" s="151">
        <v>10</v>
      </c>
      <c r="H110" s="3" t="s">
        <v>129</v>
      </c>
      <c r="I110" s="151"/>
      <c r="J110" s="151"/>
      <c r="K110" s="151">
        <v>0</v>
      </c>
      <c r="L110" s="151">
        <v>1</v>
      </c>
      <c r="M110" s="151">
        <v>1</v>
      </c>
    </row>
    <row r="111" spans="1:13" x14ac:dyDescent="0.2">
      <c r="A111" s="3" t="s">
        <v>173</v>
      </c>
      <c r="B111" s="151"/>
      <c r="C111" s="151"/>
      <c r="D111" s="151"/>
      <c r="E111" s="151">
        <v>10</v>
      </c>
      <c r="F111" s="151">
        <v>10</v>
      </c>
      <c r="H111" s="3" t="s">
        <v>153</v>
      </c>
      <c r="I111" s="151"/>
      <c r="J111" s="151"/>
      <c r="K111" s="151">
        <v>1</v>
      </c>
      <c r="L111" s="151">
        <v>10</v>
      </c>
      <c r="M111" s="151">
        <v>11</v>
      </c>
    </row>
    <row r="112" spans="1:13" x14ac:dyDescent="0.2">
      <c r="A112" s="3" t="s">
        <v>24</v>
      </c>
      <c r="B112" s="151"/>
      <c r="C112" s="151">
        <v>6</v>
      </c>
      <c r="D112" s="151"/>
      <c r="E112" s="151">
        <v>4</v>
      </c>
      <c r="F112" s="151">
        <v>10</v>
      </c>
      <c r="H112" s="3" t="s">
        <v>175</v>
      </c>
      <c r="I112" s="151"/>
      <c r="J112" s="151"/>
      <c r="K112" s="151"/>
      <c r="L112" s="151">
        <v>0</v>
      </c>
      <c r="M112" s="151">
        <v>0</v>
      </c>
    </row>
    <row r="113" spans="1:13" x14ac:dyDescent="0.2">
      <c r="A113" s="3" t="s">
        <v>41</v>
      </c>
      <c r="B113" s="151"/>
      <c r="C113" s="151">
        <v>8</v>
      </c>
      <c r="D113" s="151"/>
      <c r="E113" s="151">
        <v>2</v>
      </c>
      <c r="F113" s="151">
        <v>10</v>
      </c>
      <c r="H113" s="3" t="s">
        <v>104</v>
      </c>
      <c r="I113" s="151">
        <v>0</v>
      </c>
      <c r="J113" s="151"/>
      <c r="K113" s="151"/>
      <c r="L113" s="151">
        <v>0</v>
      </c>
      <c r="M113" s="151">
        <v>0</v>
      </c>
    </row>
    <row r="114" spans="1:13" x14ac:dyDescent="0.2">
      <c r="A114" s="3" t="s">
        <v>202</v>
      </c>
      <c r="B114" s="151"/>
      <c r="C114" s="151"/>
      <c r="D114" s="151">
        <v>10</v>
      </c>
      <c r="E114" s="151"/>
      <c r="F114" s="151">
        <v>10</v>
      </c>
      <c r="H114" s="3" t="s">
        <v>43</v>
      </c>
      <c r="I114" s="151"/>
      <c r="J114" s="151">
        <v>10</v>
      </c>
      <c r="K114" s="151">
        <v>9</v>
      </c>
      <c r="L114" s="151">
        <v>6</v>
      </c>
      <c r="M114" s="151">
        <v>25</v>
      </c>
    </row>
    <row r="115" spans="1:13" x14ac:dyDescent="0.2">
      <c r="A115" s="3" t="s">
        <v>156</v>
      </c>
      <c r="B115" s="151"/>
      <c r="C115" s="151"/>
      <c r="D115" s="151"/>
      <c r="E115" s="151">
        <v>9</v>
      </c>
      <c r="F115" s="151">
        <v>9</v>
      </c>
      <c r="H115" s="3" t="s">
        <v>167</v>
      </c>
      <c r="I115" s="151"/>
      <c r="J115" s="151"/>
      <c r="K115" s="151"/>
      <c r="L115" s="151">
        <v>2</v>
      </c>
      <c r="M115" s="151">
        <v>2</v>
      </c>
    </row>
    <row r="116" spans="1:13" x14ac:dyDescent="0.2">
      <c r="A116" s="3" t="s">
        <v>155</v>
      </c>
      <c r="B116" s="151"/>
      <c r="C116" s="151"/>
      <c r="D116" s="151"/>
      <c r="E116" s="151">
        <v>9</v>
      </c>
      <c r="F116" s="151">
        <v>9</v>
      </c>
      <c r="H116" s="3" t="s">
        <v>107</v>
      </c>
      <c r="I116" s="151"/>
      <c r="J116" s="151">
        <v>13</v>
      </c>
      <c r="K116" s="151"/>
      <c r="L116" s="151"/>
      <c r="M116" s="151">
        <v>13</v>
      </c>
    </row>
    <row r="117" spans="1:13" x14ac:dyDescent="0.2">
      <c r="A117" s="3" t="s">
        <v>93</v>
      </c>
      <c r="B117" s="151"/>
      <c r="C117" s="151">
        <v>9</v>
      </c>
      <c r="D117" s="151"/>
      <c r="E117" s="151"/>
      <c r="F117" s="151">
        <v>9</v>
      </c>
      <c r="H117" s="3" t="s">
        <v>58</v>
      </c>
      <c r="I117" s="151"/>
      <c r="J117" s="151">
        <v>0</v>
      </c>
      <c r="K117" s="151"/>
      <c r="L117" s="151"/>
      <c r="M117" s="151">
        <v>0</v>
      </c>
    </row>
    <row r="118" spans="1:13" x14ac:dyDescent="0.2">
      <c r="A118" s="3" t="s">
        <v>181</v>
      </c>
      <c r="B118" s="151"/>
      <c r="C118" s="151"/>
      <c r="D118" s="151">
        <v>2</v>
      </c>
      <c r="E118" s="151">
        <v>7</v>
      </c>
      <c r="F118" s="151">
        <v>9</v>
      </c>
      <c r="H118" s="3" t="s">
        <v>33</v>
      </c>
      <c r="I118" s="151"/>
      <c r="J118" s="151">
        <v>0</v>
      </c>
      <c r="K118" s="151"/>
      <c r="L118" s="151">
        <v>0</v>
      </c>
      <c r="M118" s="151">
        <v>0</v>
      </c>
    </row>
    <row r="119" spans="1:13" x14ac:dyDescent="0.2">
      <c r="A119" s="3" t="s">
        <v>154</v>
      </c>
      <c r="B119" s="151"/>
      <c r="C119" s="151"/>
      <c r="D119" s="151"/>
      <c r="E119" s="151">
        <v>9</v>
      </c>
      <c r="F119" s="151">
        <v>9</v>
      </c>
      <c r="H119" s="3" t="s">
        <v>78</v>
      </c>
      <c r="I119" s="151"/>
      <c r="J119" s="151">
        <v>1</v>
      </c>
      <c r="K119" s="151"/>
      <c r="L119" s="151"/>
      <c r="M119" s="151">
        <v>1</v>
      </c>
    </row>
    <row r="120" spans="1:13" x14ac:dyDescent="0.2">
      <c r="A120" s="3" t="s">
        <v>114</v>
      </c>
      <c r="B120" s="151"/>
      <c r="C120" s="151">
        <v>8</v>
      </c>
      <c r="D120" s="151"/>
      <c r="E120" s="151"/>
      <c r="F120" s="151">
        <v>8</v>
      </c>
      <c r="H120" s="3" t="s">
        <v>118</v>
      </c>
      <c r="I120" s="151"/>
      <c r="J120" s="151"/>
      <c r="K120" s="151">
        <v>3</v>
      </c>
      <c r="L120" s="151"/>
      <c r="M120" s="151">
        <v>3</v>
      </c>
    </row>
    <row r="121" spans="1:13" x14ac:dyDescent="0.2">
      <c r="A121" s="3" t="s">
        <v>203</v>
      </c>
      <c r="B121" s="151"/>
      <c r="C121" s="151"/>
      <c r="D121" s="151">
        <v>8</v>
      </c>
      <c r="E121" s="151"/>
      <c r="F121" s="151">
        <v>8</v>
      </c>
      <c r="H121" s="3" t="s">
        <v>56</v>
      </c>
      <c r="I121" s="151">
        <v>1</v>
      </c>
      <c r="J121" s="151">
        <v>28</v>
      </c>
      <c r="K121" s="151">
        <v>0</v>
      </c>
      <c r="L121" s="151"/>
      <c r="M121" s="151">
        <v>29</v>
      </c>
    </row>
    <row r="122" spans="1:13" x14ac:dyDescent="0.2">
      <c r="A122" s="3" t="s">
        <v>63</v>
      </c>
      <c r="B122" s="151"/>
      <c r="C122" s="151">
        <v>8</v>
      </c>
      <c r="D122" s="151"/>
      <c r="E122" s="151"/>
      <c r="F122" s="151">
        <v>8</v>
      </c>
      <c r="H122" s="3" t="s">
        <v>151</v>
      </c>
      <c r="I122" s="151"/>
      <c r="J122" s="151"/>
      <c r="K122" s="151"/>
      <c r="L122" s="151">
        <v>1</v>
      </c>
      <c r="M122" s="151">
        <v>1</v>
      </c>
    </row>
    <row r="123" spans="1:13" x14ac:dyDescent="0.2">
      <c r="A123" s="3" t="s">
        <v>104</v>
      </c>
      <c r="B123" s="151">
        <v>1</v>
      </c>
      <c r="C123" s="151"/>
      <c r="D123" s="151"/>
      <c r="E123" s="151">
        <v>7</v>
      </c>
      <c r="F123" s="151">
        <v>8</v>
      </c>
      <c r="H123" s="3" t="s">
        <v>24</v>
      </c>
      <c r="I123" s="151"/>
      <c r="J123" s="151">
        <v>0</v>
      </c>
      <c r="K123" s="151"/>
      <c r="L123" s="151">
        <v>1</v>
      </c>
      <c r="M123" s="151">
        <v>1</v>
      </c>
    </row>
    <row r="124" spans="1:13" x14ac:dyDescent="0.2">
      <c r="A124" s="3" t="s">
        <v>197</v>
      </c>
      <c r="B124" s="151"/>
      <c r="C124" s="151"/>
      <c r="D124" s="151">
        <v>8</v>
      </c>
      <c r="E124" s="151"/>
      <c r="F124" s="151">
        <v>8</v>
      </c>
      <c r="H124" s="3" t="s">
        <v>130</v>
      </c>
      <c r="I124" s="151"/>
      <c r="J124" s="151"/>
      <c r="K124" s="151">
        <v>0</v>
      </c>
      <c r="L124" s="151">
        <v>2</v>
      </c>
      <c r="M124" s="151">
        <v>2</v>
      </c>
    </row>
    <row r="125" spans="1:13" x14ac:dyDescent="0.2">
      <c r="A125" s="3" t="s">
        <v>123</v>
      </c>
      <c r="B125" s="151"/>
      <c r="C125" s="151"/>
      <c r="D125" s="151">
        <v>7</v>
      </c>
      <c r="E125" s="151"/>
      <c r="F125" s="151">
        <v>7</v>
      </c>
      <c r="H125" s="3" t="s">
        <v>106</v>
      </c>
      <c r="I125" s="151"/>
      <c r="J125" s="151">
        <v>8</v>
      </c>
      <c r="K125" s="151"/>
      <c r="L125" s="151"/>
      <c r="M125" s="151">
        <v>8</v>
      </c>
    </row>
    <row r="126" spans="1:13" x14ac:dyDescent="0.2">
      <c r="A126" s="3" t="s">
        <v>125</v>
      </c>
      <c r="B126" s="151"/>
      <c r="C126" s="151"/>
      <c r="D126" s="151">
        <v>4</v>
      </c>
      <c r="E126" s="151">
        <v>3</v>
      </c>
      <c r="F126" s="151">
        <v>7</v>
      </c>
      <c r="H126" s="3" t="s">
        <v>65</v>
      </c>
      <c r="I126" s="151"/>
      <c r="J126" s="151">
        <v>0</v>
      </c>
      <c r="K126" s="151"/>
      <c r="L126" s="151"/>
      <c r="M126" s="151">
        <v>0</v>
      </c>
    </row>
    <row r="127" spans="1:13" x14ac:dyDescent="0.2">
      <c r="A127" s="3" t="s">
        <v>53</v>
      </c>
      <c r="B127" s="151"/>
      <c r="C127" s="151">
        <v>7</v>
      </c>
      <c r="D127" s="151"/>
      <c r="E127" s="151"/>
      <c r="F127" s="151">
        <v>7</v>
      </c>
      <c r="H127" s="3" t="s">
        <v>166</v>
      </c>
      <c r="I127" s="151"/>
      <c r="J127" s="151"/>
      <c r="K127" s="151"/>
      <c r="L127" s="151">
        <v>0</v>
      </c>
      <c r="M127" s="151">
        <v>0</v>
      </c>
    </row>
    <row r="128" spans="1:13" x14ac:dyDescent="0.2">
      <c r="A128" s="3" t="s">
        <v>77</v>
      </c>
      <c r="B128" s="151"/>
      <c r="C128" s="151">
        <v>7</v>
      </c>
      <c r="D128" s="151"/>
      <c r="E128" s="151"/>
      <c r="F128" s="151">
        <v>7</v>
      </c>
      <c r="H128" s="3" t="s">
        <v>131</v>
      </c>
      <c r="I128" s="151"/>
      <c r="J128" s="151"/>
      <c r="K128" s="151">
        <v>0</v>
      </c>
      <c r="L128" s="151">
        <v>13</v>
      </c>
      <c r="M128" s="151">
        <v>13</v>
      </c>
    </row>
    <row r="129" spans="1:13" x14ac:dyDescent="0.2">
      <c r="A129" s="3" t="s">
        <v>87</v>
      </c>
      <c r="B129" s="151">
        <v>1</v>
      </c>
      <c r="C129" s="151">
        <v>3</v>
      </c>
      <c r="D129" s="151">
        <v>3</v>
      </c>
      <c r="E129" s="151"/>
      <c r="F129" s="151">
        <v>7</v>
      </c>
      <c r="H129" s="3" t="s">
        <v>76</v>
      </c>
      <c r="I129" s="151"/>
      <c r="J129" s="151">
        <v>2</v>
      </c>
      <c r="K129" s="151"/>
      <c r="L129" s="151"/>
      <c r="M129" s="151">
        <v>2</v>
      </c>
    </row>
    <row r="130" spans="1:13" x14ac:dyDescent="0.2">
      <c r="A130" s="3" t="s">
        <v>204</v>
      </c>
      <c r="B130" s="151"/>
      <c r="C130" s="151"/>
      <c r="D130" s="151">
        <v>7</v>
      </c>
      <c r="E130" s="151"/>
      <c r="F130" s="151">
        <v>7</v>
      </c>
      <c r="H130" s="3" t="s">
        <v>187</v>
      </c>
      <c r="I130" s="151"/>
      <c r="J130" s="151"/>
      <c r="K130" s="151">
        <v>1</v>
      </c>
      <c r="L130" s="151"/>
      <c r="M130" s="151">
        <v>1</v>
      </c>
    </row>
    <row r="131" spans="1:13" x14ac:dyDescent="0.2">
      <c r="A131" s="3" t="s">
        <v>46</v>
      </c>
      <c r="B131" s="151"/>
      <c r="C131" s="151">
        <v>7</v>
      </c>
      <c r="D131" s="151"/>
      <c r="E131" s="151"/>
      <c r="F131" s="151">
        <v>7</v>
      </c>
      <c r="H131" s="3" t="s">
        <v>185</v>
      </c>
      <c r="I131" s="151"/>
      <c r="J131" s="151"/>
      <c r="K131" s="151">
        <v>2</v>
      </c>
      <c r="L131" s="151"/>
      <c r="M131" s="151">
        <v>2</v>
      </c>
    </row>
    <row r="132" spans="1:13" x14ac:dyDescent="0.2">
      <c r="A132" s="3" t="s">
        <v>37</v>
      </c>
      <c r="B132" s="151"/>
      <c r="C132" s="151">
        <v>5</v>
      </c>
      <c r="D132" s="151"/>
      <c r="E132" s="151">
        <v>2</v>
      </c>
      <c r="F132" s="151">
        <v>7</v>
      </c>
      <c r="H132" s="3" t="s">
        <v>31</v>
      </c>
      <c r="I132" s="151">
        <v>0</v>
      </c>
      <c r="J132" s="151">
        <v>0</v>
      </c>
      <c r="K132" s="151"/>
      <c r="L132" s="151">
        <v>0</v>
      </c>
      <c r="M132" s="151">
        <v>0</v>
      </c>
    </row>
    <row r="133" spans="1:13" x14ac:dyDescent="0.2">
      <c r="A133" s="3" t="s">
        <v>195</v>
      </c>
      <c r="B133" s="151"/>
      <c r="C133" s="151"/>
      <c r="D133" s="151">
        <v>6</v>
      </c>
      <c r="E133" s="151"/>
      <c r="F133" s="151">
        <v>6</v>
      </c>
      <c r="H133" s="3" t="s">
        <v>203</v>
      </c>
      <c r="I133" s="151"/>
      <c r="J133" s="151"/>
      <c r="K133" s="151">
        <v>0</v>
      </c>
      <c r="L133" s="151"/>
      <c r="M133" s="151">
        <v>0</v>
      </c>
    </row>
    <row r="134" spans="1:13" x14ac:dyDescent="0.2">
      <c r="A134" s="3" t="s">
        <v>158</v>
      </c>
      <c r="B134" s="151"/>
      <c r="C134" s="151"/>
      <c r="D134" s="151"/>
      <c r="E134" s="151">
        <v>6</v>
      </c>
      <c r="F134" s="151">
        <v>6</v>
      </c>
      <c r="H134" s="3" t="s">
        <v>207</v>
      </c>
      <c r="I134" s="151"/>
      <c r="J134" s="151"/>
      <c r="K134" s="151">
        <v>0</v>
      </c>
      <c r="L134" s="151"/>
      <c r="M134" s="151">
        <v>0</v>
      </c>
    </row>
    <row r="135" spans="1:13" x14ac:dyDescent="0.2">
      <c r="A135" s="3" t="s">
        <v>30</v>
      </c>
      <c r="B135" s="151"/>
      <c r="C135" s="151">
        <v>2</v>
      </c>
      <c r="D135" s="151"/>
      <c r="E135" s="151">
        <v>4</v>
      </c>
      <c r="F135" s="151">
        <v>6</v>
      </c>
      <c r="H135" s="3" t="s">
        <v>38</v>
      </c>
      <c r="I135" s="151">
        <v>0</v>
      </c>
      <c r="J135" s="151"/>
      <c r="K135" s="151"/>
      <c r="L135" s="151">
        <v>0</v>
      </c>
      <c r="M135" s="151">
        <v>0</v>
      </c>
    </row>
    <row r="136" spans="1:13" x14ac:dyDescent="0.2">
      <c r="A136" s="3" t="s">
        <v>196</v>
      </c>
      <c r="B136" s="151"/>
      <c r="C136" s="151"/>
      <c r="D136" s="151">
        <v>5</v>
      </c>
      <c r="E136" s="151"/>
      <c r="F136" s="151">
        <v>5</v>
      </c>
      <c r="H136" s="3" t="s">
        <v>69</v>
      </c>
      <c r="I136" s="151">
        <v>0</v>
      </c>
      <c r="J136" s="151">
        <v>11</v>
      </c>
      <c r="K136" s="151"/>
      <c r="L136" s="151"/>
      <c r="M136" s="151">
        <v>11</v>
      </c>
    </row>
    <row r="137" spans="1:13" x14ac:dyDescent="0.2">
      <c r="A137" s="3" t="s">
        <v>141</v>
      </c>
      <c r="B137" s="151"/>
      <c r="C137" s="151"/>
      <c r="D137" s="151"/>
      <c r="E137" s="151">
        <v>5</v>
      </c>
      <c r="F137" s="151">
        <v>5</v>
      </c>
      <c r="H137" s="3" t="s">
        <v>137</v>
      </c>
      <c r="I137" s="151"/>
      <c r="J137" s="151"/>
      <c r="K137" s="151"/>
      <c r="L137" s="151">
        <v>4</v>
      </c>
      <c r="M137" s="151">
        <v>4</v>
      </c>
    </row>
    <row r="138" spans="1:13" x14ac:dyDescent="0.2">
      <c r="A138" s="3" t="s">
        <v>96</v>
      </c>
      <c r="B138" s="151"/>
      <c r="C138" s="151">
        <v>3</v>
      </c>
      <c r="D138" s="151"/>
      <c r="E138" s="151">
        <v>2</v>
      </c>
      <c r="F138" s="151">
        <v>5</v>
      </c>
      <c r="H138" s="3" t="s">
        <v>55</v>
      </c>
      <c r="I138" s="151"/>
      <c r="J138" s="151">
        <v>0</v>
      </c>
      <c r="K138" s="151"/>
      <c r="L138" s="151"/>
      <c r="M138" s="151">
        <v>0</v>
      </c>
    </row>
    <row r="139" spans="1:13" x14ac:dyDescent="0.2">
      <c r="A139" s="3" t="s">
        <v>146</v>
      </c>
      <c r="B139" s="151"/>
      <c r="C139" s="151"/>
      <c r="D139" s="151"/>
      <c r="E139" s="151">
        <v>5</v>
      </c>
      <c r="F139" s="151">
        <v>5</v>
      </c>
      <c r="H139" s="3" t="s">
        <v>50</v>
      </c>
      <c r="I139" s="151"/>
      <c r="J139" s="151">
        <v>2</v>
      </c>
      <c r="K139" s="151">
        <v>3</v>
      </c>
      <c r="L139" s="151"/>
      <c r="M139" s="151">
        <v>5</v>
      </c>
    </row>
    <row r="140" spans="1:13" x14ac:dyDescent="0.2">
      <c r="A140" s="3" t="s">
        <v>174</v>
      </c>
      <c r="B140" s="151"/>
      <c r="C140" s="151"/>
      <c r="D140" s="151"/>
      <c r="E140" s="151">
        <v>5</v>
      </c>
      <c r="F140" s="151">
        <v>5</v>
      </c>
      <c r="H140" s="3" t="s">
        <v>87</v>
      </c>
      <c r="I140" s="151">
        <v>0</v>
      </c>
      <c r="J140" s="151">
        <v>0</v>
      </c>
      <c r="K140" s="151">
        <v>1</v>
      </c>
      <c r="L140" s="151"/>
      <c r="M140" s="151">
        <v>1</v>
      </c>
    </row>
    <row r="141" spans="1:13" x14ac:dyDescent="0.2">
      <c r="A141" s="3" t="s">
        <v>65</v>
      </c>
      <c r="B141" s="151"/>
      <c r="C141" s="151">
        <v>5</v>
      </c>
      <c r="D141" s="151"/>
      <c r="E141" s="151"/>
      <c r="F141" s="151">
        <v>5</v>
      </c>
      <c r="H141" s="3" t="s">
        <v>96</v>
      </c>
      <c r="I141" s="151"/>
      <c r="J141" s="151">
        <v>0</v>
      </c>
      <c r="K141" s="151"/>
      <c r="L141" s="151">
        <v>0</v>
      </c>
      <c r="M141" s="151">
        <v>0</v>
      </c>
    </row>
    <row r="142" spans="1:13" x14ac:dyDescent="0.2">
      <c r="A142" s="3" t="s">
        <v>157</v>
      </c>
      <c r="B142" s="151"/>
      <c r="C142" s="151"/>
      <c r="D142" s="151"/>
      <c r="E142" s="151">
        <v>5</v>
      </c>
      <c r="F142" s="151">
        <v>5</v>
      </c>
      <c r="H142" s="3" t="s">
        <v>165</v>
      </c>
      <c r="I142" s="151"/>
      <c r="J142" s="151"/>
      <c r="K142" s="151"/>
      <c r="L142" s="151">
        <v>1</v>
      </c>
      <c r="M142" s="151">
        <v>1</v>
      </c>
    </row>
    <row r="143" spans="1:13" x14ac:dyDescent="0.2">
      <c r="A143" s="3" t="s">
        <v>44</v>
      </c>
      <c r="B143" s="151"/>
      <c r="C143" s="151">
        <v>4</v>
      </c>
      <c r="D143" s="151"/>
      <c r="E143" s="151"/>
      <c r="F143" s="151">
        <v>4</v>
      </c>
      <c r="H143" s="3" t="s">
        <v>105</v>
      </c>
      <c r="I143" s="151"/>
      <c r="J143" s="151">
        <v>43</v>
      </c>
      <c r="K143" s="151">
        <v>10</v>
      </c>
      <c r="L143" s="151"/>
      <c r="M143" s="151">
        <v>53</v>
      </c>
    </row>
    <row r="144" spans="1:13" x14ac:dyDescent="0.2">
      <c r="A144" s="3" t="s">
        <v>47</v>
      </c>
      <c r="B144" s="151"/>
      <c r="C144" s="151">
        <v>4</v>
      </c>
      <c r="D144" s="151"/>
      <c r="E144" s="151"/>
      <c r="F144" s="151">
        <v>4</v>
      </c>
      <c r="H144" s="3" t="s">
        <v>63</v>
      </c>
      <c r="I144" s="151"/>
      <c r="J144" s="151">
        <v>13</v>
      </c>
      <c r="K144" s="151"/>
      <c r="L144" s="151"/>
      <c r="M144" s="151">
        <v>13</v>
      </c>
    </row>
    <row r="145" spans="1:13" x14ac:dyDescent="0.2">
      <c r="A145" s="3" t="s">
        <v>116</v>
      </c>
      <c r="B145" s="151"/>
      <c r="C145" s="151">
        <v>4</v>
      </c>
      <c r="D145" s="151"/>
      <c r="E145" s="151"/>
      <c r="F145" s="151">
        <v>4</v>
      </c>
      <c r="H145" s="3" t="s">
        <v>51</v>
      </c>
      <c r="I145" s="151"/>
      <c r="J145" s="151">
        <v>0</v>
      </c>
      <c r="K145" s="151"/>
      <c r="L145" s="151"/>
      <c r="M145" s="151">
        <v>0</v>
      </c>
    </row>
    <row r="146" spans="1:13" x14ac:dyDescent="0.2">
      <c r="A146" s="3" t="s">
        <v>25</v>
      </c>
      <c r="B146" s="151"/>
      <c r="C146" s="151"/>
      <c r="D146" s="151"/>
      <c r="E146" s="151">
        <v>4</v>
      </c>
      <c r="F146" s="151">
        <v>4</v>
      </c>
      <c r="H146" s="3" t="s">
        <v>146</v>
      </c>
      <c r="I146" s="151"/>
      <c r="J146" s="151"/>
      <c r="K146" s="151"/>
      <c r="L146" s="151">
        <v>1</v>
      </c>
      <c r="M146" s="151">
        <v>1</v>
      </c>
    </row>
    <row r="147" spans="1:13" x14ac:dyDescent="0.2">
      <c r="A147" s="3" t="s">
        <v>115</v>
      </c>
      <c r="B147" s="151"/>
      <c r="C147" s="151">
        <v>4</v>
      </c>
      <c r="D147" s="151"/>
      <c r="E147" s="151"/>
      <c r="F147" s="151">
        <v>4</v>
      </c>
      <c r="H147" s="3" t="s">
        <v>150</v>
      </c>
      <c r="I147" s="151"/>
      <c r="J147" s="151"/>
      <c r="K147" s="151"/>
      <c r="L147" s="151">
        <v>0</v>
      </c>
      <c r="M147" s="151">
        <v>0</v>
      </c>
    </row>
    <row r="148" spans="1:13" x14ac:dyDescent="0.2">
      <c r="A148" s="3" t="s">
        <v>38</v>
      </c>
      <c r="B148" s="151">
        <v>2</v>
      </c>
      <c r="C148" s="151"/>
      <c r="D148" s="151"/>
      <c r="E148" s="151">
        <v>2</v>
      </c>
      <c r="F148" s="151">
        <v>4</v>
      </c>
      <c r="H148" s="3" t="s">
        <v>84</v>
      </c>
      <c r="I148" s="151"/>
      <c r="J148" s="151">
        <v>0</v>
      </c>
      <c r="K148" s="151"/>
      <c r="L148" s="151">
        <v>1</v>
      </c>
      <c r="M148" s="151">
        <v>1</v>
      </c>
    </row>
    <row r="149" spans="1:13" x14ac:dyDescent="0.2">
      <c r="A149" s="3" t="s">
        <v>159</v>
      </c>
      <c r="B149" s="151"/>
      <c r="C149" s="151"/>
      <c r="D149" s="151"/>
      <c r="E149" s="151">
        <v>4</v>
      </c>
      <c r="F149" s="151">
        <v>4</v>
      </c>
      <c r="H149" s="3" t="s">
        <v>126</v>
      </c>
      <c r="I149" s="151"/>
      <c r="J149" s="151"/>
      <c r="K149" s="151">
        <v>0</v>
      </c>
      <c r="L149" s="151"/>
      <c r="M149" s="151">
        <v>0</v>
      </c>
    </row>
    <row r="150" spans="1:13" x14ac:dyDescent="0.2">
      <c r="A150" s="3" t="s">
        <v>207</v>
      </c>
      <c r="B150" s="151"/>
      <c r="C150" s="151"/>
      <c r="D150" s="151">
        <v>4</v>
      </c>
      <c r="E150" s="151"/>
      <c r="F150" s="151">
        <v>4</v>
      </c>
      <c r="H150" s="3" t="s">
        <v>26</v>
      </c>
      <c r="I150" s="151"/>
      <c r="J150" s="151">
        <v>0</v>
      </c>
      <c r="K150" s="151"/>
      <c r="L150" s="151">
        <v>0</v>
      </c>
      <c r="M150" s="151">
        <v>0</v>
      </c>
    </row>
    <row r="151" spans="1:13" x14ac:dyDescent="0.2">
      <c r="A151" s="3" t="s">
        <v>126</v>
      </c>
      <c r="B151" s="151"/>
      <c r="C151" s="151"/>
      <c r="D151" s="151">
        <v>4</v>
      </c>
      <c r="E151" s="151"/>
      <c r="F151" s="151">
        <v>4</v>
      </c>
      <c r="H151" s="3" t="s">
        <v>95</v>
      </c>
      <c r="I151" s="151"/>
      <c r="J151" s="151">
        <v>0</v>
      </c>
      <c r="K151" s="151"/>
      <c r="L151" s="151"/>
      <c r="M151" s="151">
        <v>0</v>
      </c>
    </row>
    <row r="152" spans="1:13" x14ac:dyDescent="0.2">
      <c r="A152" s="3" t="s">
        <v>27</v>
      </c>
      <c r="B152" s="151"/>
      <c r="C152" s="151"/>
      <c r="D152" s="151"/>
      <c r="E152" s="151">
        <v>4</v>
      </c>
      <c r="F152" s="151">
        <v>4</v>
      </c>
      <c r="H152" s="3" t="s">
        <v>180</v>
      </c>
      <c r="I152" s="151"/>
      <c r="J152" s="151"/>
      <c r="K152" s="151"/>
      <c r="L152" s="151">
        <v>0</v>
      </c>
      <c r="M152" s="151">
        <v>0</v>
      </c>
    </row>
    <row r="153" spans="1:13" x14ac:dyDescent="0.2">
      <c r="A153" s="3" t="s">
        <v>45</v>
      </c>
      <c r="B153" s="151"/>
      <c r="C153" s="151">
        <v>4</v>
      </c>
      <c r="D153" s="151"/>
      <c r="E153" s="151"/>
      <c r="F153" s="151">
        <v>4</v>
      </c>
      <c r="H153" s="3" t="s">
        <v>44</v>
      </c>
      <c r="I153" s="151"/>
      <c r="J153" s="151">
        <v>0</v>
      </c>
      <c r="K153" s="151"/>
      <c r="L153" s="151"/>
      <c r="M153" s="151">
        <v>0</v>
      </c>
    </row>
    <row r="154" spans="1:13" x14ac:dyDescent="0.2">
      <c r="A154" s="3" t="s">
        <v>205</v>
      </c>
      <c r="B154" s="151"/>
      <c r="C154" s="151"/>
      <c r="D154" s="151">
        <v>4</v>
      </c>
      <c r="E154" s="151"/>
      <c r="F154" s="151">
        <v>4</v>
      </c>
      <c r="H154" s="3" t="s">
        <v>86</v>
      </c>
      <c r="I154" s="151">
        <v>0</v>
      </c>
      <c r="J154" s="151">
        <v>1</v>
      </c>
      <c r="K154" s="151">
        <v>0</v>
      </c>
      <c r="L154" s="151"/>
      <c r="M154" s="151">
        <v>1</v>
      </c>
    </row>
    <row r="155" spans="1:13" x14ac:dyDescent="0.2">
      <c r="A155" s="3" t="s">
        <v>160</v>
      </c>
      <c r="B155" s="151"/>
      <c r="C155" s="151"/>
      <c r="D155" s="151"/>
      <c r="E155" s="151">
        <v>4</v>
      </c>
      <c r="F155" s="151">
        <v>4</v>
      </c>
      <c r="H155" s="3" t="s">
        <v>196</v>
      </c>
      <c r="I155" s="151"/>
      <c r="J155" s="151"/>
      <c r="K155" s="151">
        <v>0</v>
      </c>
      <c r="L155" s="151"/>
      <c r="M155" s="151">
        <v>0</v>
      </c>
    </row>
    <row r="156" spans="1:13" x14ac:dyDescent="0.2">
      <c r="A156" s="3" t="s">
        <v>198</v>
      </c>
      <c r="B156" s="151"/>
      <c r="C156" s="151"/>
      <c r="D156" s="151">
        <v>4</v>
      </c>
      <c r="E156" s="151"/>
      <c r="F156" s="151">
        <v>4</v>
      </c>
      <c r="H156" s="3" t="s">
        <v>40</v>
      </c>
      <c r="I156" s="151"/>
      <c r="J156" s="151">
        <v>4</v>
      </c>
      <c r="K156" s="151"/>
      <c r="L156" s="151">
        <v>0</v>
      </c>
      <c r="M156" s="151">
        <v>4</v>
      </c>
    </row>
    <row r="157" spans="1:13" x14ac:dyDescent="0.2">
      <c r="A157" s="3" t="s">
        <v>78</v>
      </c>
      <c r="B157" s="151"/>
      <c r="C157" s="151">
        <v>4</v>
      </c>
      <c r="D157" s="151"/>
      <c r="E157" s="151"/>
      <c r="F157" s="151">
        <v>4</v>
      </c>
      <c r="H157" s="3" t="s">
        <v>25</v>
      </c>
      <c r="I157" s="151"/>
      <c r="J157" s="151"/>
      <c r="K157" s="151"/>
      <c r="L157" s="151">
        <v>1</v>
      </c>
      <c r="M157" s="151">
        <v>1</v>
      </c>
    </row>
    <row r="158" spans="1:13" x14ac:dyDescent="0.2">
      <c r="A158" s="3" t="s">
        <v>206</v>
      </c>
      <c r="B158" s="151"/>
      <c r="C158" s="151"/>
      <c r="D158" s="151">
        <v>4</v>
      </c>
      <c r="E158" s="151"/>
      <c r="F158" s="151">
        <v>4</v>
      </c>
      <c r="H158" s="3" t="s">
        <v>204</v>
      </c>
      <c r="I158" s="151"/>
      <c r="J158" s="151"/>
      <c r="K158" s="151">
        <v>1</v>
      </c>
      <c r="L158" s="151"/>
      <c r="M158" s="151">
        <v>1</v>
      </c>
    </row>
    <row r="159" spans="1:13" x14ac:dyDescent="0.2">
      <c r="A159" s="3" t="s">
        <v>142</v>
      </c>
      <c r="B159" s="151"/>
      <c r="C159" s="151"/>
      <c r="D159" s="151"/>
      <c r="E159" s="151">
        <v>4</v>
      </c>
      <c r="F159" s="151">
        <v>4</v>
      </c>
      <c r="H159" s="3" t="s">
        <v>190</v>
      </c>
      <c r="I159" s="151"/>
      <c r="J159" s="151"/>
      <c r="K159" s="151">
        <v>23</v>
      </c>
      <c r="L159" s="151"/>
      <c r="M159" s="151">
        <v>23</v>
      </c>
    </row>
    <row r="160" spans="1:13" x14ac:dyDescent="0.2">
      <c r="A160" s="3" t="s">
        <v>95</v>
      </c>
      <c r="B160" s="151"/>
      <c r="C160" s="151">
        <v>3</v>
      </c>
      <c r="D160" s="151"/>
      <c r="E160" s="151"/>
      <c r="F160" s="151">
        <v>3</v>
      </c>
      <c r="H160" s="3" t="s">
        <v>145</v>
      </c>
      <c r="I160" s="151"/>
      <c r="J160" s="151"/>
      <c r="K160" s="151"/>
      <c r="L160" s="151">
        <v>0</v>
      </c>
      <c r="M160" s="151">
        <v>0</v>
      </c>
    </row>
    <row r="161" spans="1:13" x14ac:dyDescent="0.2">
      <c r="A161" s="3" t="s">
        <v>175</v>
      </c>
      <c r="B161" s="151"/>
      <c r="C161" s="151"/>
      <c r="D161" s="151"/>
      <c r="E161" s="151">
        <v>3</v>
      </c>
      <c r="F161" s="151">
        <v>3</v>
      </c>
      <c r="H161" s="3" t="s">
        <v>80</v>
      </c>
      <c r="I161" s="151">
        <v>0</v>
      </c>
      <c r="J161" s="151">
        <v>6</v>
      </c>
      <c r="K161" s="151"/>
      <c r="L161" s="151"/>
      <c r="M161" s="151">
        <v>6</v>
      </c>
    </row>
    <row r="162" spans="1:13" x14ac:dyDescent="0.2">
      <c r="A162" s="3" t="s">
        <v>49</v>
      </c>
      <c r="B162" s="151"/>
      <c r="C162" s="151">
        <v>3</v>
      </c>
      <c r="D162" s="151"/>
      <c r="E162" s="151"/>
      <c r="F162" s="151">
        <v>3</v>
      </c>
      <c r="H162" s="3" t="s">
        <v>64</v>
      </c>
      <c r="I162" s="151">
        <v>1</v>
      </c>
      <c r="J162" s="151">
        <v>3</v>
      </c>
      <c r="K162" s="151">
        <v>5</v>
      </c>
      <c r="L162" s="151">
        <v>5</v>
      </c>
      <c r="M162" s="151">
        <v>14</v>
      </c>
    </row>
    <row r="163" spans="1:13" x14ac:dyDescent="0.2">
      <c r="A163" s="3" t="s">
        <v>143</v>
      </c>
      <c r="B163" s="151"/>
      <c r="C163" s="151"/>
      <c r="D163" s="151"/>
      <c r="E163" s="151">
        <v>3</v>
      </c>
      <c r="F163" s="151">
        <v>3</v>
      </c>
      <c r="H163" s="3" t="s">
        <v>168</v>
      </c>
      <c r="I163" s="151"/>
      <c r="J163" s="151"/>
      <c r="K163" s="151">
        <v>0</v>
      </c>
      <c r="L163" s="151">
        <v>0</v>
      </c>
      <c r="M163" s="151">
        <v>0</v>
      </c>
    </row>
    <row r="164" spans="1:13" x14ac:dyDescent="0.2">
      <c r="A164" s="3" t="s">
        <v>163</v>
      </c>
      <c r="B164" s="151"/>
      <c r="C164" s="151"/>
      <c r="D164" s="151"/>
      <c r="E164" s="151">
        <v>3</v>
      </c>
      <c r="F164" s="151">
        <v>3</v>
      </c>
      <c r="H164" s="3" t="s">
        <v>199</v>
      </c>
      <c r="I164" s="151"/>
      <c r="J164" s="151"/>
      <c r="K164" s="151">
        <v>0</v>
      </c>
      <c r="L164" s="151"/>
      <c r="M164" s="151">
        <v>0</v>
      </c>
    </row>
    <row r="165" spans="1:13" x14ac:dyDescent="0.2">
      <c r="A165" s="3" t="s">
        <v>182</v>
      </c>
      <c r="B165" s="151"/>
      <c r="C165" s="151"/>
      <c r="D165" s="151"/>
      <c r="E165" s="151">
        <v>3</v>
      </c>
      <c r="F165" s="151">
        <v>3</v>
      </c>
      <c r="H165" s="3" t="s">
        <v>208</v>
      </c>
      <c r="I165" s="151"/>
      <c r="J165" s="151"/>
      <c r="K165" s="151">
        <v>0</v>
      </c>
      <c r="L165" s="151"/>
      <c r="M165" s="151">
        <v>0</v>
      </c>
    </row>
    <row r="166" spans="1:13" x14ac:dyDescent="0.2">
      <c r="A166" s="3" t="s">
        <v>179</v>
      </c>
      <c r="B166" s="151"/>
      <c r="C166" s="151"/>
      <c r="D166" s="151"/>
      <c r="E166" s="151">
        <v>3</v>
      </c>
      <c r="F166" s="151">
        <v>3</v>
      </c>
      <c r="H166" s="3" t="s">
        <v>37</v>
      </c>
      <c r="I166" s="151"/>
      <c r="J166" s="151">
        <v>0</v>
      </c>
      <c r="K166" s="151"/>
      <c r="L166" s="151">
        <v>0</v>
      </c>
      <c r="M166" s="151">
        <v>0</v>
      </c>
    </row>
    <row r="167" spans="1:13" x14ac:dyDescent="0.2">
      <c r="A167" s="3" t="s">
        <v>90</v>
      </c>
      <c r="B167" s="151"/>
      <c r="C167" s="151">
        <v>3</v>
      </c>
      <c r="D167" s="151"/>
      <c r="E167" s="151"/>
      <c r="F167" s="151">
        <v>3</v>
      </c>
      <c r="H167" s="3" t="s">
        <v>49</v>
      </c>
      <c r="I167" s="151"/>
      <c r="J167" s="151">
        <v>0</v>
      </c>
      <c r="K167" s="151"/>
      <c r="L167" s="151"/>
      <c r="M167" s="151">
        <v>0</v>
      </c>
    </row>
    <row r="168" spans="1:13" x14ac:dyDescent="0.2">
      <c r="A168" s="3" t="s">
        <v>178</v>
      </c>
      <c r="B168" s="151"/>
      <c r="C168" s="151"/>
      <c r="D168" s="151"/>
      <c r="E168" s="151">
        <v>3</v>
      </c>
      <c r="F168" s="151">
        <v>3</v>
      </c>
      <c r="H168" s="3" t="s">
        <v>67</v>
      </c>
      <c r="I168" s="151"/>
      <c r="J168" s="151">
        <v>1</v>
      </c>
      <c r="K168" s="151"/>
      <c r="L168" s="151"/>
      <c r="M168" s="151">
        <v>1</v>
      </c>
    </row>
    <row r="169" spans="1:13" x14ac:dyDescent="0.2">
      <c r="A169" s="3" t="s">
        <v>110</v>
      </c>
      <c r="B169" s="151"/>
      <c r="C169" s="151">
        <v>2</v>
      </c>
      <c r="D169" s="151"/>
      <c r="E169" s="151"/>
      <c r="F169" s="151">
        <v>2</v>
      </c>
      <c r="H169" s="3" t="s">
        <v>110</v>
      </c>
      <c r="I169" s="151"/>
      <c r="J169" s="151">
        <v>0</v>
      </c>
      <c r="K169" s="151"/>
      <c r="L169" s="151"/>
      <c r="M169" s="151">
        <v>0</v>
      </c>
    </row>
    <row r="170" spans="1:13" x14ac:dyDescent="0.2">
      <c r="A170" s="3" t="s">
        <v>165</v>
      </c>
      <c r="B170" s="151"/>
      <c r="C170" s="151"/>
      <c r="D170" s="151"/>
      <c r="E170" s="151">
        <v>2</v>
      </c>
      <c r="F170" s="151">
        <v>2</v>
      </c>
      <c r="H170" s="3" t="s">
        <v>154</v>
      </c>
      <c r="I170" s="151"/>
      <c r="J170" s="151"/>
      <c r="K170" s="151"/>
      <c r="L170" s="151">
        <v>3</v>
      </c>
      <c r="M170" s="151">
        <v>3</v>
      </c>
    </row>
    <row r="171" spans="1:13" x14ac:dyDescent="0.2">
      <c r="A171" s="3" t="s">
        <v>180</v>
      </c>
      <c r="B171" s="151"/>
      <c r="C171" s="151"/>
      <c r="D171" s="151"/>
      <c r="E171" s="151">
        <v>2</v>
      </c>
      <c r="F171" s="151">
        <v>2</v>
      </c>
      <c r="H171" s="3" t="s">
        <v>193</v>
      </c>
      <c r="I171" s="151"/>
      <c r="J171" s="151"/>
      <c r="K171" s="151">
        <v>1</v>
      </c>
      <c r="L171" s="151"/>
      <c r="M171" s="151">
        <v>1</v>
      </c>
    </row>
    <row r="172" spans="1:13" x14ac:dyDescent="0.2">
      <c r="A172" s="3" t="s">
        <v>88</v>
      </c>
      <c r="B172" s="151"/>
      <c r="C172" s="151">
        <v>2</v>
      </c>
      <c r="D172" s="151"/>
      <c r="E172" s="151"/>
      <c r="F172" s="151">
        <v>2</v>
      </c>
      <c r="H172" s="3" t="s">
        <v>83</v>
      </c>
      <c r="I172" s="151">
        <v>6</v>
      </c>
      <c r="J172" s="151">
        <v>76</v>
      </c>
      <c r="K172" s="151"/>
      <c r="L172" s="151"/>
      <c r="M172" s="151">
        <v>82</v>
      </c>
    </row>
    <row r="173" spans="1:13" x14ac:dyDescent="0.2">
      <c r="A173" s="3" t="s">
        <v>51</v>
      </c>
      <c r="B173" s="151"/>
      <c r="C173" s="151">
        <v>2</v>
      </c>
      <c r="D173" s="151"/>
      <c r="E173" s="151"/>
      <c r="F173" s="151">
        <v>2</v>
      </c>
      <c r="H173" s="3" t="s">
        <v>170</v>
      </c>
      <c r="I173" s="151"/>
      <c r="J173" s="151"/>
      <c r="K173" s="151">
        <v>0</v>
      </c>
      <c r="L173" s="151">
        <v>1</v>
      </c>
      <c r="M173" s="151">
        <v>1</v>
      </c>
    </row>
    <row r="174" spans="1:13" x14ac:dyDescent="0.2">
      <c r="A174" s="3" t="s">
        <v>166</v>
      </c>
      <c r="B174" s="151"/>
      <c r="C174" s="151"/>
      <c r="D174" s="151"/>
      <c r="E174" s="151">
        <v>2</v>
      </c>
      <c r="F174" s="151">
        <v>2</v>
      </c>
      <c r="H174" s="3" t="s">
        <v>157</v>
      </c>
      <c r="I174" s="151"/>
      <c r="J174" s="151"/>
      <c r="K174" s="151"/>
      <c r="L174" s="151">
        <v>1</v>
      </c>
      <c r="M174" s="151">
        <v>1</v>
      </c>
    </row>
    <row r="175" spans="1:13" x14ac:dyDescent="0.2">
      <c r="A175" s="3" t="s">
        <v>144</v>
      </c>
      <c r="B175" s="151"/>
      <c r="C175" s="151"/>
      <c r="D175" s="151"/>
      <c r="E175" s="151">
        <v>2</v>
      </c>
      <c r="F175" s="151">
        <v>2</v>
      </c>
      <c r="H175" s="3" t="s">
        <v>132</v>
      </c>
      <c r="I175" s="151"/>
      <c r="J175" s="151"/>
      <c r="K175" s="151"/>
      <c r="L175" s="151">
        <v>2</v>
      </c>
      <c r="M175" s="151">
        <v>2</v>
      </c>
    </row>
    <row r="176" spans="1:13" x14ac:dyDescent="0.2">
      <c r="A176" s="3" t="s">
        <v>383</v>
      </c>
      <c r="B176" s="151"/>
      <c r="C176" s="151"/>
      <c r="D176" s="151"/>
      <c r="E176" s="151">
        <v>2</v>
      </c>
      <c r="F176" s="151">
        <v>2</v>
      </c>
      <c r="H176" s="3" t="s">
        <v>112</v>
      </c>
      <c r="I176" s="151"/>
      <c r="J176" s="151">
        <v>8</v>
      </c>
      <c r="K176" s="151">
        <v>20</v>
      </c>
      <c r="L176" s="151"/>
      <c r="M176" s="151">
        <v>28</v>
      </c>
    </row>
    <row r="177" spans="1:13" x14ac:dyDescent="0.2">
      <c r="A177" s="3" t="s">
        <v>145</v>
      </c>
      <c r="B177" s="151"/>
      <c r="C177" s="151"/>
      <c r="D177" s="151"/>
      <c r="E177" s="151">
        <v>2</v>
      </c>
      <c r="F177" s="151">
        <v>2</v>
      </c>
      <c r="H177" s="3" t="s">
        <v>62</v>
      </c>
      <c r="I177" s="151"/>
      <c r="J177" s="151">
        <v>0</v>
      </c>
      <c r="K177" s="151"/>
      <c r="L177" s="151"/>
      <c r="M177" s="151">
        <v>0</v>
      </c>
    </row>
    <row r="178" spans="1:13" x14ac:dyDescent="0.2">
      <c r="A178" s="3" t="s">
        <v>91</v>
      </c>
      <c r="B178" s="151"/>
      <c r="C178" s="151">
        <v>1</v>
      </c>
      <c r="D178" s="151"/>
      <c r="E178" s="151"/>
      <c r="F178" s="151">
        <v>1</v>
      </c>
      <c r="H178" s="3" t="s">
        <v>111</v>
      </c>
      <c r="I178" s="151"/>
      <c r="J178" s="151">
        <v>1</v>
      </c>
      <c r="K178" s="151">
        <v>1</v>
      </c>
      <c r="L178" s="151">
        <v>2</v>
      </c>
      <c r="M178" s="151">
        <v>4</v>
      </c>
    </row>
    <row r="179" spans="1:13" x14ac:dyDescent="0.2">
      <c r="A179" s="3" t="s">
        <v>92</v>
      </c>
      <c r="B179" s="151"/>
      <c r="C179" s="151">
        <v>1</v>
      </c>
      <c r="D179" s="151"/>
      <c r="E179" s="151"/>
      <c r="F179" s="151">
        <v>1</v>
      </c>
      <c r="H179" s="3" t="s">
        <v>109</v>
      </c>
      <c r="I179" s="151"/>
      <c r="J179" s="151">
        <v>0</v>
      </c>
      <c r="K179" s="151">
        <v>1</v>
      </c>
      <c r="L179" s="151"/>
      <c r="M179" s="151">
        <v>1</v>
      </c>
    </row>
    <row r="180" spans="1:13" x14ac:dyDescent="0.2">
      <c r="A180" s="3" t="s">
        <v>35</v>
      </c>
      <c r="B180" s="151"/>
      <c r="C180" s="151">
        <v>1</v>
      </c>
      <c r="D180" s="151"/>
      <c r="E180" s="151">
        <v>0</v>
      </c>
      <c r="F180" s="151">
        <v>1</v>
      </c>
      <c r="H180" s="3" t="s">
        <v>159</v>
      </c>
      <c r="I180" s="151"/>
      <c r="J180" s="151"/>
      <c r="K180" s="151"/>
      <c r="L180" s="151">
        <v>1</v>
      </c>
      <c r="M180" s="151">
        <v>1</v>
      </c>
    </row>
    <row r="181" spans="1:13" x14ac:dyDescent="0.2">
      <c r="A181" s="3" t="s">
        <v>55</v>
      </c>
      <c r="B181" s="151"/>
      <c r="C181" s="151">
        <v>1</v>
      </c>
      <c r="D181" s="151"/>
      <c r="E181" s="151"/>
      <c r="F181" s="151">
        <v>1</v>
      </c>
      <c r="H181" s="3" t="s">
        <v>127</v>
      </c>
      <c r="I181" s="151"/>
      <c r="J181" s="151"/>
      <c r="K181" s="151">
        <v>0</v>
      </c>
      <c r="L181" s="151"/>
      <c r="M181" s="151">
        <v>0</v>
      </c>
    </row>
    <row r="182" spans="1:13" x14ac:dyDescent="0.2">
      <c r="A182" s="3" t="s">
        <v>103</v>
      </c>
      <c r="B182" s="151">
        <v>1</v>
      </c>
      <c r="C182" s="151"/>
      <c r="D182" s="151"/>
      <c r="E182" s="151"/>
      <c r="F182" s="151">
        <v>1</v>
      </c>
      <c r="H182" s="3" t="s">
        <v>128</v>
      </c>
      <c r="I182" s="151"/>
      <c r="J182" s="151"/>
      <c r="K182" s="151">
        <v>0</v>
      </c>
      <c r="L182" s="151"/>
      <c r="M182" s="151">
        <v>0</v>
      </c>
    </row>
    <row r="183" spans="1:13" x14ac:dyDescent="0.2">
      <c r="A183" s="3" t="s">
        <v>127</v>
      </c>
      <c r="B183" s="151"/>
      <c r="C183" s="151"/>
      <c r="D183" s="151">
        <v>1</v>
      </c>
      <c r="E183" s="151"/>
      <c r="F183" s="151">
        <v>1</v>
      </c>
      <c r="H183" s="3" t="s">
        <v>123</v>
      </c>
      <c r="I183" s="151"/>
      <c r="J183" s="151"/>
      <c r="K183" s="151">
        <v>1</v>
      </c>
      <c r="L183" s="151"/>
      <c r="M183" s="151">
        <v>1</v>
      </c>
    </row>
    <row r="184" spans="1:13" x14ac:dyDescent="0.2">
      <c r="A184" s="3" t="s">
        <v>409</v>
      </c>
      <c r="B184" s="151"/>
      <c r="C184" s="151"/>
      <c r="D184" s="151"/>
      <c r="E184" s="151">
        <v>1</v>
      </c>
      <c r="F184" s="151">
        <v>1</v>
      </c>
      <c r="H184" s="3" t="s">
        <v>179</v>
      </c>
      <c r="I184" s="151"/>
      <c r="J184" s="151"/>
      <c r="K184" s="151"/>
      <c r="L184" s="151">
        <v>0</v>
      </c>
      <c r="M184" s="151">
        <v>0</v>
      </c>
    </row>
    <row r="185" spans="1:13" x14ac:dyDescent="0.2">
      <c r="A185" s="3" t="s">
        <v>128</v>
      </c>
      <c r="B185" s="151"/>
      <c r="C185" s="151"/>
      <c r="D185" s="151">
        <v>1</v>
      </c>
      <c r="E185" s="151"/>
      <c r="F185" s="151">
        <v>1</v>
      </c>
      <c r="H185" s="3" t="s">
        <v>124</v>
      </c>
      <c r="I185" s="151"/>
      <c r="J185" s="151"/>
      <c r="K185" s="151">
        <v>0</v>
      </c>
      <c r="L185" s="151">
        <v>0</v>
      </c>
      <c r="M185" s="151">
        <v>0</v>
      </c>
    </row>
    <row r="186" spans="1:13" x14ac:dyDescent="0.2">
      <c r="A186" s="3" t="s">
        <v>208</v>
      </c>
      <c r="B186" s="151"/>
      <c r="C186" s="151"/>
      <c r="D186" s="151">
        <v>1</v>
      </c>
      <c r="E186" s="151"/>
      <c r="F186" s="151">
        <v>1</v>
      </c>
      <c r="H186" s="3" t="s">
        <v>48</v>
      </c>
      <c r="I186" s="151"/>
      <c r="J186" s="151">
        <v>17</v>
      </c>
      <c r="K186" s="151"/>
      <c r="L186" s="151"/>
      <c r="M186" s="151">
        <v>17</v>
      </c>
    </row>
    <row r="187" spans="1:13" x14ac:dyDescent="0.2">
      <c r="A187" s="3" t="s">
        <v>52</v>
      </c>
      <c r="B187" s="151"/>
      <c r="C187" s="151">
        <v>1</v>
      </c>
      <c r="D187" s="151"/>
      <c r="E187" s="151"/>
      <c r="F187" s="151">
        <v>1</v>
      </c>
      <c r="H187" s="3" t="s">
        <v>101</v>
      </c>
      <c r="I187" s="151">
        <v>0</v>
      </c>
      <c r="J187" s="151">
        <v>2</v>
      </c>
      <c r="K187" s="151">
        <v>0</v>
      </c>
      <c r="L187" s="151">
        <v>11</v>
      </c>
      <c r="M187" s="151">
        <v>13</v>
      </c>
    </row>
    <row r="188" spans="1:13" x14ac:dyDescent="0.2">
      <c r="A188" s="3" t="s">
        <v>67</v>
      </c>
      <c r="B188" s="151"/>
      <c r="C188" s="151">
        <v>1</v>
      </c>
      <c r="D188" s="151"/>
      <c r="E188" s="151"/>
      <c r="F188" s="151">
        <v>1</v>
      </c>
      <c r="H188" s="3" t="s">
        <v>57</v>
      </c>
      <c r="I188" s="151"/>
      <c r="J188" s="151">
        <v>4</v>
      </c>
      <c r="K188" s="151"/>
      <c r="L188" s="151"/>
      <c r="M188" s="151">
        <v>4</v>
      </c>
    </row>
    <row r="189" spans="1:13" x14ac:dyDescent="0.2">
      <c r="A189" s="3" t="s">
        <v>54</v>
      </c>
      <c r="B189" s="151"/>
      <c r="C189" s="151">
        <v>1</v>
      </c>
      <c r="D189" s="151"/>
      <c r="E189" s="151"/>
      <c r="F189" s="151">
        <v>1</v>
      </c>
      <c r="H189" s="3" t="s">
        <v>108</v>
      </c>
      <c r="I189" s="151"/>
      <c r="J189" s="151">
        <v>0</v>
      </c>
      <c r="K189" s="151">
        <v>0</v>
      </c>
      <c r="L189" s="151">
        <v>0</v>
      </c>
      <c r="M189" s="151">
        <v>0</v>
      </c>
    </row>
    <row r="190" spans="1:13" x14ac:dyDescent="0.2">
      <c r="A190" s="3" t="s">
        <v>68</v>
      </c>
      <c r="B190" s="151"/>
      <c r="C190" s="151">
        <v>1</v>
      </c>
      <c r="D190" s="151"/>
      <c r="E190" s="151"/>
      <c r="F190" s="151">
        <v>1</v>
      </c>
      <c r="H190" s="3" t="s">
        <v>82</v>
      </c>
      <c r="I190" s="151">
        <v>0</v>
      </c>
      <c r="J190" s="151">
        <v>9</v>
      </c>
      <c r="K190" s="151"/>
      <c r="L190" s="151"/>
      <c r="M190" s="151">
        <v>9</v>
      </c>
    </row>
    <row r="191" spans="1:13" x14ac:dyDescent="0.2">
      <c r="A191" s="3" t="s">
        <v>98</v>
      </c>
      <c r="B191" s="151"/>
      <c r="C191" s="151">
        <v>1</v>
      </c>
      <c r="D191" s="151"/>
      <c r="E191" s="151"/>
      <c r="F191" s="151">
        <v>1</v>
      </c>
      <c r="H191" s="3" t="s">
        <v>41</v>
      </c>
      <c r="I191" s="151"/>
      <c r="J191" s="151">
        <v>0</v>
      </c>
      <c r="K191" s="151"/>
      <c r="L191" s="151">
        <v>0</v>
      </c>
      <c r="M191" s="151">
        <v>0</v>
      </c>
    </row>
    <row r="192" spans="1:13" x14ac:dyDescent="0.2">
      <c r="A192" s="3" t="s">
        <v>212</v>
      </c>
      <c r="B192" s="151"/>
      <c r="C192" s="151"/>
      <c r="D192" s="151"/>
      <c r="E192" s="151"/>
      <c r="F192" s="151"/>
      <c r="H192" s="3" t="s">
        <v>409</v>
      </c>
      <c r="I192" s="151"/>
      <c r="J192" s="151"/>
      <c r="K192" s="151"/>
      <c r="L192" s="151">
        <v>0</v>
      </c>
      <c r="M192" s="151">
        <v>0</v>
      </c>
    </row>
    <row r="193" spans="1:13" x14ac:dyDescent="0.2">
      <c r="A193" s="3" t="s">
        <v>385</v>
      </c>
      <c r="B193" s="151">
        <v>140</v>
      </c>
      <c r="C193" s="151">
        <v>2107</v>
      </c>
      <c r="D193" s="151">
        <v>766</v>
      </c>
      <c r="E193" s="151">
        <v>1348</v>
      </c>
      <c r="F193" s="151">
        <v>4361</v>
      </c>
      <c r="H193" s="3" t="s">
        <v>385</v>
      </c>
      <c r="I193" s="151">
        <v>10</v>
      </c>
      <c r="J193" s="151">
        <v>495</v>
      </c>
      <c r="K193" s="151">
        <v>127</v>
      </c>
      <c r="L193" s="151">
        <v>311</v>
      </c>
      <c r="M193" s="151">
        <v>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SUMMARY</vt:lpstr>
      <vt:lpstr>ALLA ÅR</vt:lpstr>
      <vt:lpstr>SUMMERING</vt:lpstr>
      <vt:lpstr>MÅL</vt:lpstr>
      <vt:lpstr>MATCHER</vt:lpstr>
      <vt:lpstr>TABELLER</vt:lpstr>
      <vt:lpstr>100%</vt:lpstr>
      <vt:lpstr>ÅLDER</vt:lpstr>
      <vt:lpstr>Blad3</vt:lpstr>
      <vt:lpstr>MAT DIV 1 &amp; 2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Elmvik Johan</dc:creator>
  <cp:keywords/>
  <dc:description/>
  <cp:lastModifiedBy>Johan Elmvik</cp:lastModifiedBy>
  <cp:revision/>
  <dcterms:created xsi:type="dcterms:W3CDTF">2024-02-09T19:06:14Z</dcterms:created>
  <dcterms:modified xsi:type="dcterms:W3CDTF">2026-04-29T21:17:06Z</dcterms:modified>
  <cp:category/>
  <cp:contentStatus/>
</cp:coreProperties>
</file>