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0" windowWidth="14910" windowHeight="11610" tabRatio="862" activeTab="2"/>
  </bookViews>
  <sheets>
    <sheet name="Mexico" sheetId="1" r:id="rId1"/>
    <sheet name="Blad1" sheetId="2" r:id="rId2"/>
    <sheet name="KJ 2002" sheetId="3" r:id="rId3"/>
    <sheet name="France" sheetId="4" r:id="rId4"/>
    <sheet name="Senegal" sheetId="5" r:id="rId5"/>
    <sheet name="Uruguay" sheetId="6" r:id="rId6"/>
    <sheet name="Denmark" sheetId="7" r:id="rId7"/>
    <sheet name="Spain" sheetId="8" r:id="rId8"/>
    <sheet name="Slovenia" sheetId="9" r:id="rId9"/>
    <sheet name="Paraguay" sheetId="10" r:id="rId10"/>
    <sheet name="South Africa" sheetId="11" r:id="rId11"/>
    <sheet name="Brazil" sheetId="12" r:id="rId12"/>
    <sheet name="Turkey" sheetId="13" r:id="rId13"/>
    <sheet name="China" sheetId="14" r:id="rId14"/>
    <sheet name="Costa Rica" sheetId="15" r:id="rId15"/>
    <sheet name="South Korea" sheetId="16" r:id="rId16"/>
    <sheet name="Poland" sheetId="17" r:id="rId17"/>
    <sheet name="USA" sheetId="18" r:id="rId18"/>
    <sheet name="Portugal" sheetId="19" r:id="rId19"/>
    <sheet name="Germany" sheetId="20" r:id="rId20"/>
    <sheet name="Saudi Arabia" sheetId="21" r:id="rId21"/>
    <sheet name="Ireland" sheetId="22" r:id="rId22"/>
    <sheet name="Cameroon" sheetId="23" r:id="rId23"/>
    <sheet name="Argentina" sheetId="24" r:id="rId24"/>
    <sheet name="Nigeria" sheetId="25" r:id="rId25"/>
    <sheet name="England" sheetId="26" r:id="rId26"/>
    <sheet name="Sweden" sheetId="27" r:id="rId27"/>
    <sheet name="Italy" sheetId="28" r:id="rId28"/>
    <sheet name="Ecuador" sheetId="29" r:id="rId29"/>
    <sheet name="Croatia" sheetId="30" r:id="rId30"/>
    <sheet name="Japan" sheetId="31" r:id="rId31"/>
    <sheet name="Belgium" sheetId="32" r:id="rId32"/>
    <sheet name="Russia" sheetId="33" r:id="rId33"/>
    <sheet name="Tunisia" sheetId="34" r:id="rId34"/>
    <sheet name="Group Points" sheetId="35" r:id="rId35"/>
  </sheets>
  <definedNames>
    <definedName name="A2_Against">'KJ 2002'!$E$7,'KJ 2002'!$E$13,'KJ 2002'!$F$17</definedName>
    <definedName name="A2_Played">'KJ 2002'!$F$7,'KJ 2002'!$F$13,'KJ 2002'!$E$17</definedName>
    <definedName name="Argentina_Against">'KJ 2002'!#REF!,'KJ 2002'!#REF!,'KJ 2002'!#REF!</definedName>
    <definedName name="Argentina_Played">'KJ 2002'!#REF!,'KJ 2002'!#REF!,'KJ 2002'!#REF!</definedName>
    <definedName name="Belgium_Against">'KJ 2002'!#REF!,'KJ 2002'!#REF!,'KJ 2002'!#REF!</definedName>
    <definedName name="Belgium_Played">'KJ 2002'!#REF!,'KJ 2002'!#REF!,'KJ 2002'!#REF!</definedName>
    <definedName name="Brazil_Against">'KJ 2002'!#REF!,'KJ 2002'!#REF!,'KJ 2002'!#REF!</definedName>
    <definedName name="Brazil_Played">'KJ 2002'!#REF!,'KJ 2002'!#REF!,'KJ 2002'!#REF!</definedName>
    <definedName name="Cameroon_Against">'KJ 2002'!#REF!,'KJ 2002'!#REF!,'KJ 2002'!#REF!</definedName>
    <definedName name="Cameroon_Played">'KJ 2002'!#REF!,'KJ 2002'!#REF!,'KJ 2002'!#REF!</definedName>
    <definedName name="China_Against">'KJ 2002'!#REF!,'KJ 2002'!#REF!,'KJ 2002'!#REF!</definedName>
    <definedName name="China_Played">'KJ 2002'!#REF!,'KJ 2002'!#REF!,'KJ 2002'!#REF!</definedName>
    <definedName name="Costa_Rica_Against">'KJ 2002'!#REF!,'KJ 2002'!#REF!,'KJ 2002'!#REF!</definedName>
    <definedName name="Costa_Rica_Played">'KJ 2002'!#REF!,'KJ 2002'!#REF!,'KJ 2002'!#REF!</definedName>
    <definedName name="Croatia_Against">'KJ 2002'!#REF!,'KJ 2002'!#REF!,'KJ 2002'!#REF!</definedName>
    <definedName name="Croatia_Played">'KJ 2002'!#REF!,'KJ 2002'!#REF!,'KJ 2002'!#REF!</definedName>
    <definedName name="Denmark_Against">'KJ 2002'!$E$9,'KJ 2002'!$F$13,'KJ 2002'!$F$15</definedName>
    <definedName name="Denmark_Played">'KJ 2002'!$F$9,'KJ 2002'!$E$13,'KJ 2002'!$E$15</definedName>
    <definedName name="Drawpoints">'Group Points'!$B$5</definedName>
    <definedName name="Ecuador_Against">'KJ 2002'!#REF!,'KJ 2002'!#REF!,'KJ 2002'!#REF!</definedName>
    <definedName name="Ecuador_Played">'KJ 2002'!#REF!,'KJ 2002'!#REF!,'KJ 2002'!#REF!</definedName>
    <definedName name="England_Against">'KJ 2002'!#REF!,'KJ 2002'!#REF!,'KJ 2002'!#REF!</definedName>
    <definedName name="England_Played">'KJ 2002'!#REF!,'KJ 2002'!#REF!,'KJ 2002'!#REF!</definedName>
    <definedName name="France_Against">'KJ 2002'!$F$7,'KJ 2002'!$F$11,'KJ 2002'!$E$15</definedName>
    <definedName name="France_Played">'KJ 2002'!$E$7,'KJ 2002'!$E$11,'KJ 2002'!$F$15</definedName>
    <definedName name="France_Results">'KJ 2002'!$J$7,'KJ 2002'!$J$11,'KJ 2002'!$J$16</definedName>
    <definedName name="Germany_Against">'KJ 2002'!#REF!,'KJ 2002'!#REF!,'KJ 2002'!#REF!</definedName>
    <definedName name="Germany_Played">'KJ 2002'!#REF!,'KJ 2002'!#REF!,'KJ 2002'!#REF!</definedName>
    <definedName name="Groupstage_Losers">'KJ 2002'!$K$7:$K$18</definedName>
    <definedName name="Groupstage_Winners">'KJ 2002'!$J$7:$J$18</definedName>
    <definedName name="Ireland_Against">'KJ 2002'!#REF!,'KJ 2002'!#REF!,'KJ 2002'!#REF!</definedName>
    <definedName name="Ireland_Played">'KJ 2002'!#REF!,'KJ 2002'!#REF!,'KJ 2002'!#REF!</definedName>
    <definedName name="Italy_Against">'KJ 2002'!#REF!,'KJ 2002'!#REF!,'KJ 2002'!#REF!</definedName>
    <definedName name="Italy_Played">'KJ 2002'!#REF!,'KJ 2002'!#REF!,'KJ 2002'!#REF!</definedName>
    <definedName name="Japan_Against">'KJ 2002'!#REF!,'KJ 2002'!#REF!,'KJ 2002'!#REF!</definedName>
    <definedName name="Japan_Played">'KJ 2002'!#REF!,'KJ 2002'!#REF!,'KJ 2002'!#REF!</definedName>
    <definedName name="Mexico_Against">'KJ 2002'!#REF!,'KJ 2002'!#REF!,'KJ 2002'!#REF!</definedName>
    <definedName name="Mexico_Played">'KJ 2002'!#REF!,'KJ 2002'!#REF!,'KJ 2002'!#REF!</definedName>
    <definedName name="Nigeria_Against">'KJ 2002'!#REF!,'KJ 2002'!#REF!,'KJ 2002'!#REF!</definedName>
    <definedName name="Nigeria_Played">'KJ 2002'!#REF!,'KJ 2002'!#REF!,'KJ 2002'!#REF!</definedName>
    <definedName name="Paraguay_Against">'KJ 2002'!$F$8,'KJ 2002'!$E$12,'KJ 2002'!$E$16</definedName>
    <definedName name="Paraguay_Played">'KJ 2002'!$E$8,'KJ 2002'!$F$12,'KJ 2002'!$F$16</definedName>
    <definedName name="Poland_Against">'KJ 2002'!#REF!,'KJ 2002'!#REF!,'KJ 2002'!#REF!</definedName>
    <definedName name="Poland_Played">'KJ 2002'!#REF!,'KJ 2002'!#REF!,'KJ 2002'!#REF!</definedName>
    <definedName name="Portugal_Against">'KJ 2002'!#REF!,'KJ 2002'!#REF!,'KJ 2002'!#REF!</definedName>
    <definedName name="Portugal_Played">'KJ 2002'!#REF!,'KJ 2002'!#REF!,'KJ 2002'!#REF!</definedName>
    <definedName name="Russia_Against">'KJ 2002'!#REF!,'KJ 2002'!#REF!,'KJ 2002'!#REF!</definedName>
    <definedName name="Russia_Played">'KJ 2002'!#REF!,'KJ 2002'!#REF!,'KJ 2002'!#REF!</definedName>
    <definedName name="Saudi_Arabia_Against">'KJ 2002'!#REF!,'KJ 2002'!#REF!,'KJ 2002'!#REF!</definedName>
    <definedName name="Saudi_Arabia_Played">'KJ 2002'!#REF!,'KJ 2002'!#REF!,'KJ 2002'!#REF!</definedName>
    <definedName name="Senegal_Against">'KJ 2002'!$E$7,'KJ 2002'!$E$13,'KJ 2002'!$F$17</definedName>
    <definedName name="Senegal_Played">'KJ 2002'!$F$7,'KJ 2002'!$F$13,'KJ 2002'!$E$17</definedName>
    <definedName name="Slovenia_Against">'KJ 2002'!$E$10,'KJ 2002'!$E$14,'KJ 2002'!$F$16</definedName>
    <definedName name="Slovenia_Played">'KJ 2002'!$F$10,'KJ 2002'!$F$14,'KJ 2002'!$E$16</definedName>
    <definedName name="South_Africa_Against">'KJ 2002'!$E$8,'KJ 2002'!$F$14,'KJ 2002'!$F$18</definedName>
    <definedName name="South_Africa_Played">'KJ 2002'!$F$8,'KJ 2002'!$E$14,'KJ 2002'!$E$18</definedName>
    <definedName name="South_Korea_Against">'KJ 2002'!#REF!,'KJ 2002'!#REF!,'KJ 2002'!#REF!</definedName>
    <definedName name="South_Korea_Played">'KJ 2002'!#REF!,'KJ 2002'!#REF!,'KJ 2002'!#REF!</definedName>
    <definedName name="Spain_Against">'KJ 2002'!$F$10,'KJ 2002'!$F$12,'KJ 2002'!$E$18</definedName>
    <definedName name="Spain_Played">'KJ 2002'!$E$10,'KJ 2002'!$E$12,'KJ 2002'!$F$18</definedName>
    <definedName name="Sweden_Against">'KJ 2002'!#REF!,'KJ 2002'!#REF!,'KJ 2002'!#REF!</definedName>
    <definedName name="Sweden_Played">'KJ 2002'!#REF!,'KJ 2002'!#REF!,'KJ 2002'!#REF!</definedName>
    <definedName name="Tunisia_Against">'KJ 2002'!#REF!,'KJ 2002'!#REF!,'KJ 2002'!#REF!</definedName>
    <definedName name="Tunisia_Played">'KJ 2002'!#REF!,'KJ 2002'!#REF!,'KJ 2002'!#REF!</definedName>
    <definedName name="Turkey_Against">'KJ 2002'!#REF!,'KJ 2002'!#REF!,'KJ 2002'!#REF!</definedName>
    <definedName name="Turkey_Played">'KJ 2002'!#REF!,'KJ 2002'!#REF!,'KJ 2002'!#REF!</definedName>
    <definedName name="Uruguay_Against">'KJ 2002'!$F$9,'KJ 2002'!$E$11,'KJ 2002'!$E$17</definedName>
    <definedName name="Uruguay_Played">'KJ 2002'!$E$9,'KJ 2002'!$F$11,'KJ 2002'!$F$17</definedName>
    <definedName name="USA_Against">'KJ 2002'!#REF!,'KJ 2002'!#REF!,'KJ 2002'!#REF!</definedName>
    <definedName name="USA_Played">'KJ 2002'!#REF!,'KJ 2002'!#REF!,'KJ 2002'!#REF!</definedName>
    <definedName name="_xlnm.Print_Area" localSheetId="2">'KJ 2002'!$B$1:$U$41</definedName>
    <definedName name="Winpoints">'Group Points'!$B$4</definedName>
  </definedNames>
  <calcPr fullCalcOnLoad="1"/>
</workbook>
</file>

<file path=xl/sharedStrings.xml><?xml version="1.0" encoding="utf-8"?>
<sst xmlns="http://schemas.openxmlformats.org/spreadsheetml/2006/main" count="190" uniqueCount="72">
  <si>
    <t>Winner</t>
  </si>
  <si>
    <t>Loser</t>
  </si>
  <si>
    <t>First Draft</t>
  </si>
  <si>
    <t>Points Sort 1</t>
  </si>
  <si>
    <t>Points Sort 2</t>
  </si>
  <si>
    <t>Points Sort 3</t>
  </si>
  <si>
    <t>GD Sort 1</t>
  </si>
  <si>
    <t>GD Sort 2</t>
  </si>
  <si>
    <t>GD Sort 3</t>
  </si>
  <si>
    <t>F Sort 1</t>
  </si>
  <si>
    <t>F Sort 2</t>
  </si>
  <si>
    <t>F Sort 3</t>
  </si>
  <si>
    <t>P</t>
  </si>
  <si>
    <t>W</t>
  </si>
  <si>
    <t>L</t>
  </si>
  <si>
    <t>D</t>
  </si>
  <si>
    <t>F</t>
  </si>
  <si>
    <t>A</t>
  </si>
  <si>
    <t>GD</t>
  </si>
  <si>
    <t>B</t>
  </si>
  <si>
    <t>Played</t>
  </si>
  <si>
    <t>Points</t>
  </si>
  <si>
    <t>Team</t>
  </si>
  <si>
    <t>France</t>
  </si>
  <si>
    <t>Groupstage</t>
  </si>
  <si>
    <t>Points for a win</t>
  </si>
  <si>
    <t>Points for a draw</t>
  </si>
  <si>
    <t>Senegal</t>
  </si>
  <si>
    <t>Uruguay</t>
  </si>
  <si>
    <t>Denmark</t>
  </si>
  <si>
    <t>Spain</t>
  </si>
  <si>
    <t>Slovenia</t>
  </si>
  <si>
    <t>Paraguay</t>
  </si>
  <si>
    <t>South Africa</t>
  </si>
  <si>
    <t>BACK</t>
  </si>
  <si>
    <t>Tid</t>
  </si>
  <si>
    <t>Grupp A</t>
  </si>
  <si>
    <t>Grupp B</t>
  </si>
  <si>
    <t>Vinnare:</t>
  </si>
  <si>
    <t>S</t>
  </si>
  <si>
    <t>V</t>
  </si>
  <si>
    <t>O</t>
  </si>
  <si>
    <t>M+</t>
  </si>
  <si>
    <t>M-</t>
  </si>
  <si>
    <t>MS</t>
  </si>
  <si>
    <t>Poäng</t>
  </si>
  <si>
    <t xml:space="preserve">Spar exceldokumentet under annat namn ex för just den Cupen. </t>
  </si>
  <si>
    <t xml:space="preserve">I och med detta så får man ett utskriftsområde. Det är endast detta område som skrivs ut vid klick på </t>
  </si>
  <si>
    <t>verktygsfältets skrivarikon.</t>
  </si>
  <si>
    <t>i kolumn W, efter detta är lottningen av matcherna gjord.</t>
  </si>
  <si>
    <t>Nässjö FF</t>
  </si>
  <si>
    <t>Stensjöns IF</t>
  </si>
  <si>
    <t>Malmbäcks IF</t>
  </si>
  <si>
    <t>Bodafors SK</t>
  </si>
  <si>
    <t xml:space="preserve">             Speltid i gruppspel och semifinaler är 1*20 minuter. Final är 2*15 minuter. </t>
  </si>
  <si>
    <t xml:space="preserve">                                Om oavgjort även efter sudden läggs straffar.</t>
  </si>
  <si>
    <t xml:space="preserve">              Vid oavgjort resultat i semifinal och final spelas sudden death i 5 minuter. </t>
  </si>
  <si>
    <t xml:space="preserve">            Vid lika poäng gäller målskillnad, flest gjorda mål, inbördes möte och straffar.</t>
  </si>
  <si>
    <t>När semifinalerna spelats är man tvungen att manuellt fyll i vinnarna från resp semifinal cell C31 resp H31</t>
  </si>
  <si>
    <t>Hemmalag</t>
  </si>
  <si>
    <t>Bortalag</t>
  </si>
  <si>
    <t>Semi-Finaler - Herrar</t>
  </si>
  <si>
    <t>Final - Herrar</t>
  </si>
  <si>
    <t>Efter detta dölj kolumnerna I, J, K samt V - BT</t>
  </si>
  <si>
    <t>Solberga GIF</t>
  </si>
  <si>
    <t>Annebergs IF</t>
  </si>
  <si>
    <t>Vid lottning - Lotta lag A1-A4 + B1-B4 - Markera hela arket, Format, Dölj o ta fram, Ta fram Kolumn, Skriv in lottningen</t>
  </si>
  <si>
    <t>Nässjö City</t>
  </si>
  <si>
    <t>Dölj Kolumn för kolumn. Kolumn D o G dölj cellerna 4-35. Markera cellerna, Format, Dölj o ta fram, Dölj Kolumn</t>
  </si>
  <si>
    <t>Sävsjö FF</t>
  </si>
  <si>
    <t>Grupp Spel - Herrar - 2013</t>
  </si>
  <si>
    <t>HYVEL-Cupen 2013 - Arrangör BODAFORS SPORTKLUBB</t>
  </si>
</sst>
</file>

<file path=xl/styles.xml><?xml version="1.0" encoding="utf-8"?>
<styleSheet xmlns="http://schemas.openxmlformats.org/spreadsheetml/2006/main">
  <numFmts count="5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* #,##0.00_-;\-* #,##0.00_-;_-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u val="single"/>
      <sz val="10"/>
      <color indexed="36"/>
      <name val="Arial"/>
      <family val="0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i/>
      <sz val="18"/>
      <name val="Verdana"/>
      <family val="2"/>
    </font>
    <font>
      <b/>
      <sz val="1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name val="Arial"/>
      <family val="0"/>
    </font>
    <font>
      <b/>
      <sz val="12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8" fillId="21" borderId="9" applyNumberFormat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45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3" fillId="34" borderId="12" xfId="0" applyFont="1" applyFill="1" applyBorder="1" applyAlignment="1" applyProtection="1">
      <alignment/>
      <protection locked="0"/>
    </xf>
    <xf numFmtId="0" fontId="3" fillId="34" borderId="13" xfId="0" applyFont="1" applyFill="1" applyBorder="1" applyAlignment="1" applyProtection="1">
      <alignment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8" xfId="0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0" fontId="3" fillId="0" borderId="0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20" fontId="3" fillId="0" borderId="0" xfId="0" applyNumberFormat="1" applyFont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0" fontId="2" fillId="0" borderId="13" xfId="0" applyFont="1" applyFill="1" applyBorder="1" applyAlignment="1" applyProtection="1">
      <alignment horizontal="centerContinuous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left"/>
      <protection locked="0"/>
    </xf>
    <xf numFmtId="0" fontId="0" fillId="34" borderId="12" xfId="0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left"/>
      <protection locked="0"/>
    </xf>
    <xf numFmtId="0" fontId="15" fillId="34" borderId="12" xfId="0" applyFont="1" applyFill="1" applyBorder="1" applyAlignment="1" applyProtection="1">
      <alignment horizontal="centerContinuous"/>
      <protection locked="0"/>
    </xf>
    <xf numFmtId="20" fontId="3" fillId="0" borderId="22" xfId="0" applyNumberFormat="1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92</xdr:row>
      <xdr:rowOff>104775</xdr:rowOff>
    </xdr:from>
    <xdr:to>
      <xdr:col>18</xdr:col>
      <xdr:colOff>57150</xdr:colOff>
      <xdr:row>96</xdr:row>
      <xdr:rowOff>104775</xdr:rowOff>
    </xdr:to>
    <xdr:pic>
      <xdr:nvPicPr>
        <xdr:cNvPr id="1" name="Picture 8036" descr="Logo horizontal cropp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5554325"/>
          <a:ext cx="2047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828675</xdr:colOff>
      <xdr:row>8</xdr:row>
      <xdr:rowOff>104775</xdr:rowOff>
    </xdr:to>
    <xdr:pic>
      <xdr:nvPicPr>
        <xdr:cNvPr id="2" name="Picture 8029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0"/>
          <a:ext cx="742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171450</xdr:colOff>
      <xdr:row>0</xdr:row>
      <xdr:rowOff>133350</xdr:rowOff>
    </xdr:from>
    <xdr:to>
      <xdr:col>73</xdr:col>
      <xdr:colOff>104775</xdr:colOff>
      <xdr:row>6</xdr:row>
      <xdr:rowOff>19050</xdr:rowOff>
    </xdr:to>
    <xdr:pic>
      <xdr:nvPicPr>
        <xdr:cNvPr id="3" name="Picture 8033" descr="infoplus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0"/>
          <a:ext cx="714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0</xdr:row>
      <xdr:rowOff>123825</xdr:rowOff>
    </xdr:from>
    <xdr:to>
      <xdr:col>17</xdr:col>
      <xdr:colOff>295275</xdr:colOff>
      <xdr:row>6</xdr:row>
      <xdr:rowOff>19050</xdr:rowOff>
    </xdr:to>
    <xdr:pic>
      <xdr:nvPicPr>
        <xdr:cNvPr id="4" name="Picture 8034" descr="ftgotg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0"/>
          <a:ext cx="1857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77</xdr:row>
      <xdr:rowOff>104775</xdr:rowOff>
    </xdr:from>
    <xdr:to>
      <xdr:col>17</xdr:col>
      <xdr:colOff>247650</xdr:colOff>
      <xdr:row>91</xdr:row>
      <xdr:rowOff>28575</xdr:rowOff>
    </xdr:to>
    <xdr:pic>
      <xdr:nvPicPr>
        <xdr:cNvPr id="5" name="Picture 8039" descr="Map Korea tes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0" y="13125450"/>
          <a:ext cx="16002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3:H13"/>
  <sheetViews>
    <sheetView showGridLines="0" showRowColHeaders="0" showOutlineSymbols="0" zoomScalePageLayoutView="0" workbookViewId="0" topLeftCell="B1">
      <selection activeCell="H13" sqref="H13"/>
    </sheetView>
  </sheetViews>
  <sheetFormatPr defaultColWidth="9.140625" defaultRowHeight="12.75"/>
  <sheetData>
    <row r="12" ht="13.5" thickBot="1"/>
    <row r="13" ht="13.5" thickBot="1">
      <c r="H13" s="2" t="s">
        <v>34</v>
      </c>
    </row>
  </sheetData>
  <sheetProtection/>
  <hyperlinks>
    <hyperlink ref="H13" location="'KJ 2002'!A1" display="'KJ 2002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L13:L13"/>
  <sheetViews>
    <sheetView showRowColHeaders="0" showOutlineSymbols="0" zoomScalePageLayoutView="0" workbookViewId="0" topLeftCell="A1">
      <selection activeCell="L13" sqref="L13"/>
    </sheetView>
  </sheetViews>
  <sheetFormatPr defaultColWidth="9.140625" defaultRowHeight="12.75"/>
  <cols>
    <col min="1" max="16384" width="9.140625" style="1" customWidth="1"/>
  </cols>
  <sheetData>
    <row r="12" ht="13.5" thickBot="1"/>
    <row r="13" ht="13.5" thickBot="1">
      <c r="L13" s="2" t="s">
        <v>34</v>
      </c>
    </row>
  </sheetData>
  <sheetProtection/>
  <hyperlinks>
    <hyperlink ref="L13" location="'KJ 2002'!A1" display="'KJ 2002'!A1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I17:I17"/>
  <sheetViews>
    <sheetView showRowColHeaders="0" showOutlineSymbols="0" zoomScalePageLayoutView="0" workbookViewId="0" topLeftCell="A1">
      <selection activeCell="I17" sqref="I17"/>
    </sheetView>
  </sheetViews>
  <sheetFormatPr defaultColWidth="9.140625" defaultRowHeight="12.75"/>
  <cols>
    <col min="1" max="16384" width="9.140625" style="1" customWidth="1"/>
  </cols>
  <sheetData>
    <row r="16" ht="13.5" thickBot="1"/>
    <row r="17" ht="13.5" thickBot="1">
      <c r="I17" s="2" t="s">
        <v>34</v>
      </c>
    </row>
  </sheetData>
  <sheetProtection/>
  <hyperlinks>
    <hyperlink ref="I17" location="'KJ 2002'!A1" display="'KJ 2002'!A1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I15:I15"/>
  <sheetViews>
    <sheetView showRowColHeaders="0" showOutlineSymbols="0" zoomScalePageLayoutView="0" workbookViewId="0" topLeftCell="A1">
      <selection activeCell="I15" sqref="I15"/>
    </sheetView>
  </sheetViews>
  <sheetFormatPr defaultColWidth="9.140625" defaultRowHeight="12.75"/>
  <cols>
    <col min="1" max="16384" width="9.140625" style="1" customWidth="1"/>
  </cols>
  <sheetData>
    <row r="14" ht="13.5" thickBot="1"/>
    <row r="15" ht="13.5" thickBot="1">
      <c r="I15" s="2" t="s">
        <v>34</v>
      </c>
    </row>
  </sheetData>
  <sheetProtection/>
  <hyperlinks>
    <hyperlink ref="I15" location="'KJ 2002'!A1" display="'KJ 2002'!A1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I15:I15"/>
  <sheetViews>
    <sheetView showRowColHeaders="0" showOutlineSymbols="0" zoomScalePageLayoutView="0" workbookViewId="0" topLeftCell="A1">
      <selection activeCell="I15" sqref="I15"/>
    </sheetView>
  </sheetViews>
  <sheetFormatPr defaultColWidth="9.140625" defaultRowHeight="12.75"/>
  <cols>
    <col min="1" max="16384" width="9.140625" style="1" customWidth="1"/>
  </cols>
  <sheetData>
    <row r="14" ht="13.5" thickBot="1"/>
    <row r="15" ht="13.5" thickBot="1">
      <c r="I15" s="2" t="s">
        <v>34</v>
      </c>
    </row>
  </sheetData>
  <sheetProtection/>
  <hyperlinks>
    <hyperlink ref="I15" location="'KJ 2002'!A1" display="'KJ 2002'!A1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I16:I16"/>
  <sheetViews>
    <sheetView showRowColHeaders="0" showOutlineSymbols="0" zoomScalePageLayoutView="0" workbookViewId="0" topLeftCell="A1">
      <selection activeCell="I16" sqref="I16"/>
    </sheetView>
  </sheetViews>
  <sheetFormatPr defaultColWidth="9.140625" defaultRowHeight="12.75"/>
  <cols>
    <col min="1" max="16384" width="9.140625" style="1" customWidth="1"/>
  </cols>
  <sheetData>
    <row r="15" ht="13.5" thickBot="1"/>
    <row r="16" ht="13.5" thickBot="1">
      <c r="I16" s="2" t="s">
        <v>34</v>
      </c>
    </row>
  </sheetData>
  <sheetProtection/>
  <hyperlinks>
    <hyperlink ref="I16" location="'KJ 2002'!A1" display="'KJ 2002'!A1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I16:I16"/>
  <sheetViews>
    <sheetView showRowColHeaders="0" showOutlineSymbols="0" zoomScalePageLayoutView="0" workbookViewId="0" topLeftCell="A1">
      <selection activeCell="I16" sqref="I16"/>
    </sheetView>
  </sheetViews>
  <sheetFormatPr defaultColWidth="9.140625" defaultRowHeight="12.75"/>
  <cols>
    <col min="1" max="16384" width="9.140625" style="1" customWidth="1"/>
  </cols>
  <sheetData>
    <row r="15" ht="13.5" thickBot="1"/>
    <row r="16" ht="13.5" thickBot="1">
      <c r="I16" s="2" t="s">
        <v>34</v>
      </c>
    </row>
  </sheetData>
  <sheetProtection/>
  <hyperlinks>
    <hyperlink ref="I16" location="'KJ 2002'!A1" display="'KJ 2002'!A1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H16:H16"/>
  <sheetViews>
    <sheetView showRowColHeaders="0" showOutlineSymbols="0" zoomScalePageLayoutView="0" workbookViewId="0" topLeftCell="A1">
      <selection activeCell="H16" sqref="H16"/>
    </sheetView>
  </sheetViews>
  <sheetFormatPr defaultColWidth="9.140625" defaultRowHeight="12.75"/>
  <cols>
    <col min="1" max="16384" width="9.140625" style="1" customWidth="1"/>
  </cols>
  <sheetData>
    <row r="15" ht="13.5" thickBot="1"/>
    <row r="16" ht="13.5" thickBot="1">
      <c r="H16" s="2" t="s">
        <v>34</v>
      </c>
    </row>
  </sheetData>
  <sheetProtection/>
  <hyperlinks>
    <hyperlink ref="H16" location="'KJ 2002'!A1" display="'KJ 2002'!A1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H16:H16"/>
  <sheetViews>
    <sheetView showRowColHeaders="0" showOutlineSymbols="0" zoomScalePageLayoutView="0" workbookViewId="0" topLeftCell="A1">
      <selection activeCell="H16" sqref="H16"/>
    </sheetView>
  </sheetViews>
  <sheetFormatPr defaultColWidth="9.140625" defaultRowHeight="12.75"/>
  <cols>
    <col min="1" max="16384" width="9.140625" style="1" customWidth="1"/>
  </cols>
  <sheetData>
    <row r="15" ht="13.5" thickBot="1"/>
    <row r="16" ht="13.5" thickBot="1">
      <c r="H16" s="2" t="s">
        <v>34</v>
      </c>
    </row>
  </sheetData>
  <sheetProtection/>
  <hyperlinks>
    <hyperlink ref="H16" location="'KJ 2002'!A1" display="'KJ 2002'!A1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I17:I17"/>
  <sheetViews>
    <sheetView showRowColHeaders="0" showOutlineSymbols="0" zoomScalePageLayoutView="0" workbookViewId="0" topLeftCell="A1">
      <selection activeCell="E35" sqref="E34:E35"/>
    </sheetView>
  </sheetViews>
  <sheetFormatPr defaultColWidth="9.140625" defaultRowHeight="12.75"/>
  <cols>
    <col min="1" max="16384" width="9.140625" style="1" customWidth="1"/>
  </cols>
  <sheetData>
    <row r="16" ht="13.5" thickBot="1"/>
    <row r="17" ht="13.5" thickBot="1">
      <c r="I17" s="2" t="s">
        <v>34</v>
      </c>
    </row>
  </sheetData>
  <sheetProtection/>
  <hyperlinks>
    <hyperlink ref="I17" location="'KJ 2002'!A1" display="'KJ 2002'!A1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H16:H16"/>
  <sheetViews>
    <sheetView showRowColHeaders="0" showOutlineSymbols="0" zoomScalePageLayoutView="0" workbookViewId="0" topLeftCell="A1">
      <selection activeCell="H16" sqref="H16"/>
    </sheetView>
  </sheetViews>
  <sheetFormatPr defaultColWidth="9.140625" defaultRowHeight="12.75"/>
  <cols>
    <col min="1" max="16384" width="9.140625" style="1" customWidth="1"/>
  </cols>
  <sheetData>
    <row r="15" ht="13.5" thickBot="1"/>
    <row r="16" ht="13.5" thickBot="1">
      <c r="H16" s="2" t="s">
        <v>34</v>
      </c>
    </row>
  </sheetData>
  <sheetProtection/>
  <hyperlinks>
    <hyperlink ref="H16" location="'KJ 2002'!A1" display="'KJ 2002'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H15:H15"/>
  <sheetViews>
    <sheetView showRowColHeaders="0" showOutlineSymbols="0" zoomScalePageLayoutView="0" workbookViewId="0" topLeftCell="A1">
      <selection activeCell="H15" sqref="H15"/>
    </sheetView>
  </sheetViews>
  <sheetFormatPr defaultColWidth="9.140625" defaultRowHeight="12.75"/>
  <cols>
    <col min="1" max="16384" width="9.140625" style="1" customWidth="1"/>
  </cols>
  <sheetData>
    <row r="14" ht="13.5" thickBot="1"/>
    <row r="15" ht="13.5" thickBot="1">
      <c r="H15" s="2" t="s">
        <v>34</v>
      </c>
    </row>
  </sheetData>
  <sheetProtection/>
  <hyperlinks>
    <hyperlink ref="H15" location="'KJ 2002'!A1" display="'KJ 2002'!A1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H16:H16"/>
  <sheetViews>
    <sheetView showRowColHeaders="0" showOutlineSymbols="0" zoomScalePageLayoutView="0" workbookViewId="0" topLeftCell="A1">
      <selection activeCell="H16" sqref="H16"/>
    </sheetView>
  </sheetViews>
  <sheetFormatPr defaultColWidth="9.140625" defaultRowHeight="12.75"/>
  <cols>
    <col min="1" max="16384" width="9.140625" style="1" customWidth="1"/>
  </cols>
  <sheetData>
    <row r="15" ht="13.5" thickBot="1"/>
    <row r="16" ht="13.5" thickBot="1">
      <c r="H16" s="2" t="s">
        <v>34</v>
      </c>
    </row>
  </sheetData>
  <sheetProtection/>
  <hyperlinks>
    <hyperlink ref="H16" location="'KJ 2002'!A1" display="'KJ 2002'!A1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G12:G12"/>
  <sheetViews>
    <sheetView showFormulas="1" showRowColHeaders="0" showOutlineSymbols="0" zoomScalePageLayoutView="0" workbookViewId="0" topLeftCell="A1">
      <selection activeCell="G12" sqref="G12"/>
    </sheetView>
  </sheetViews>
  <sheetFormatPr defaultColWidth="9.140625" defaultRowHeight="12.75"/>
  <cols>
    <col min="1" max="16384" width="9.140625" style="1" customWidth="1"/>
  </cols>
  <sheetData>
    <row r="11" ht="13.5" thickBot="1"/>
    <row r="12" ht="13.5" thickBot="1">
      <c r="G12" s="2" t="s">
        <v>34</v>
      </c>
    </row>
  </sheetData>
  <sheetProtection/>
  <hyperlinks>
    <hyperlink ref="G12" location="'KJ 2002'!A1" display="'KJ 2002'!A1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H16:H16"/>
  <sheetViews>
    <sheetView showRowColHeaders="0" showOutlineSymbols="0" zoomScalePageLayoutView="0" workbookViewId="0" topLeftCell="B1">
      <selection activeCell="H16" sqref="H16"/>
    </sheetView>
  </sheetViews>
  <sheetFormatPr defaultColWidth="9.140625" defaultRowHeight="12.75"/>
  <cols>
    <col min="1" max="16384" width="9.140625" style="1" customWidth="1"/>
  </cols>
  <sheetData>
    <row r="15" ht="13.5" thickBot="1"/>
    <row r="16" ht="13.5" thickBot="1">
      <c r="H16" s="2" t="s">
        <v>34</v>
      </c>
    </row>
  </sheetData>
  <sheetProtection/>
  <hyperlinks>
    <hyperlink ref="H16" location="'KJ 2002'!A1" display="'KJ 2002'!A1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H17:H17"/>
  <sheetViews>
    <sheetView showRowColHeaders="0" showOutlineSymbols="0" zoomScalePageLayoutView="0" workbookViewId="0" topLeftCell="A1">
      <selection activeCell="H17" sqref="H17"/>
    </sheetView>
  </sheetViews>
  <sheetFormatPr defaultColWidth="9.140625" defaultRowHeight="12.75"/>
  <cols>
    <col min="1" max="16384" width="9.140625" style="1" customWidth="1"/>
  </cols>
  <sheetData>
    <row r="16" ht="13.5" thickBot="1"/>
    <row r="17" ht="13.5" thickBot="1">
      <c r="H17" s="2" t="s">
        <v>34</v>
      </c>
    </row>
  </sheetData>
  <sheetProtection/>
  <hyperlinks>
    <hyperlink ref="H17" location="'KJ 2002'!A1" display="'KJ 2002'!A1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H18:H18"/>
  <sheetViews>
    <sheetView showRowColHeaders="0" showOutlineSymbols="0" zoomScalePageLayoutView="0" workbookViewId="0" topLeftCell="A1">
      <selection activeCell="H18" sqref="H18"/>
    </sheetView>
  </sheetViews>
  <sheetFormatPr defaultColWidth="9.140625" defaultRowHeight="12.75"/>
  <cols>
    <col min="1" max="16384" width="9.140625" style="1" customWidth="1"/>
  </cols>
  <sheetData>
    <row r="17" ht="13.5" thickBot="1"/>
    <row r="18" ht="13.5" thickBot="1">
      <c r="H18" s="2" t="s">
        <v>34</v>
      </c>
    </row>
  </sheetData>
  <sheetProtection/>
  <hyperlinks>
    <hyperlink ref="H18" location="'KJ 2002'!A1" display="'KJ 2002'!A1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H16:H16"/>
  <sheetViews>
    <sheetView showRowColHeaders="0" showOutlineSymbols="0" zoomScalePageLayoutView="0" workbookViewId="0" topLeftCell="A1">
      <selection activeCell="H16" sqref="H16"/>
    </sheetView>
  </sheetViews>
  <sheetFormatPr defaultColWidth="9.140625" defaultRowHeight="12.75"/>
  <cols>
    <col min="1" max="16384" width="9.140625" style="1" customWidth="1"/>
  </cols>
  <sheetData>
    <row r="15" ht="13.5" thickBot="1"/>
    <row r="16" ht="13.5" thickBot="1">
      <c r="H16" s="2" t="s">
        <v>34</v>
      </c>
    </row>
  </sheetData>
  <sheetProtection/>
  <hyperlinks>
    <hyperlink ref="H16" location="'KJ 2002'!A1" display="'KJ 2002'!A1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I16:I16"/>
  <sheetViews>
    <sheetView showRowColHeaders="0" showOutlineSymbols="0" zoomScalePageLayoutView="0" workbookViewId="0" topLeftCell="A1">
      <selection activeCell="I16" sqref="I16"/>
    </sheetView>
  </sheetViews>
  <sheetFormatPr defaultColWidth="9.140625" defaultRowHeight="12.75"/>
  <cols>
    <col min="1" max="16384" width="9.140625" style="1" customWidth="1"/>
  </cols>
  <sheetData>
    <row r="15" ht="13.5" thickBot="1"/>
    <row r="16" ht="13.5" thickBot="1">
      <c r="I16" s="2" t="s">
        <v>34</v>
      </c>
    </row>
  </sheetData>
  <sheetProtection/>
  <hyperlinks>
    <hyperlink ref="I16" location="'KJ 2002'!A1" display="'KJ 2002'!A1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I16:I16"/>
  <sheetViews>
    <sheetView showRowColHeaders="0" showOutlineSymbols="0" zoomScalePageLayoutView="0" workbookViewId="0" topLeftCell="A1">
      <selection activeCell="I16" sqref="I16"/>
    </sheetView>
  </sheetViews>
  <sheetFormatPr defaultColWidth="9.140625" defaultRowHeight="12.75"/>
  <cols>
    <col min="1" max="16384" width="9.140625" style="1" customWidth="1"/>
  </cols>
  <sheetData>
    <row r="15" ht="13.5" thickBot="1"/>
    <row r="16" ht="13.5" thickBot="1">
      <c r="I16" s="2" t="s">
        <v>34</v>
      </c>
    </row>
  </sheetData>
  <sheetProtection/>
  <hyperlinks>
    <hyperlink ref="I16" location="'KJ 2002'!A1" display="'KJ 2002'!A1"/>
  </hyperlink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I16:I16"/>
  <sheetViews>
    <sheetView showRowColHeaders="0" showOutlineSymbols="0" zoomScalePageLayoutView="0" workbookViewId="0" topLeftCell="A1">
      <selection activeCell="I16" sqref="I16"/>
    </sheetView>
  </sheetViews>
  <sheetFormatPr defaultColWidth="9.140625" defaultRowHeight="12.75"/>
  <cols>
    <col min="1" max="16384" width="9.140625" style="1" customWidth="1"/>
  </cols>
  <sheetData>
    <row r="15" ht="13.5" thickBot="1"/>
    <row r="16" ht="13.5" thickBot="1">
      <c r="I16" s="2" t="s">
        <v>34</v>
      </c>
    </row>
  </sheetData>
  <sheetProtection/>
  <hyperlinks>
    <hyperlink ref="I16" location="'KJ 2002'!A1" display="'KJ 2002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T69"/>
  <sheetViews>
    <sheetView tabSelected="1" showOutlineSymbols="0" zoomScale="92" zoomScaleNormal="92" zoomScalePageLayoutView="0" workbookViewId="0" topLeftCell="A4">
      <selection activeCell="H13" sqref="H13"/>
    </sheetView>
  </sheetViews>
  <sheetFormatPr defaultColWidth="9.140625" defaultRowHeight="12.75"/>
  <cols>
    <col min="1" max="1" width="9.140625" style="6" customWidth="1"/>
    <col min="2" max="2" width="23.28125" style="31" customWidth="1"/>
    <col min="3" max="3" width="18.421875" style="31" customWidth="1"/>
    <col min="4" max="4" width="14.28125" style="8" hidden="1" customWidth="1"/>
    <col min="5" max="5" width="3.00390625" style="8" customWidth="1"/>
    <col min="6" max="6" width="3.00390625" style="6" customWidth="1"/>
    <col min="7" max="7" width="15.421875" style="8" hidden="1" customWidth="1"/>
    <col min="8" max="8" width="18.00390625" style="31" customWidth="1"/>
    <col min="9" max="9" width="2.28125" style="6" hidden="1" customWidth="1"/>
    <col min="10" max="10" width="13.140625" style="6" hidden="1" customWidth="1"/>
    <col min="11" max="11" width="6.57421875" style="6" hidden="1" customWidth="1"/>
    <col min="12" max="12" width="3.28125" style="6" customWidth="1"/>
    <col min="13" max="13" width="16.7109375" style="6" bestFit="1" customWidth="1"/>
    <col min="14" max="15" width="2.7109375" style="6" bestFit="1" customWidth="1"/>
    <col min="16" max="16" width="2.57421875" style="6" bestFit="1" customWidth="1"/>
    <col min="17" max="17" width="3.140625" style="6" bestFit="1" customWidth="1"/>
    <col min="18" max="18" width="4.7109375" style="6" bestFit="1" customWidth="1"/>
    <col min="19" max="19" width="4.00390625" style="6" bestFit="1" customWidth="1"/>
    <col min="20" max="20" width="4.421875" style="6" bestFit="1" customWidth="1"/>
    <col min="21" max="21" width="7.7109375" style="6" bestFit="1" customWidth="1"/>
    <col min="22" max="22" width="6.28125" style="6" hidden="1" customWidth="1"/>
    <col min="23" max="23" width="15.421875" style="6" hidden="1" customWidth="1"/>
    <col min="24" max="24" width="7.57421875" style="6" hidden="1" customWidth="1"/>
    <col min="25" max="25" width="3.140625" style="6" hidden="1" customWidth="1"/>
    <col min="26" max="26" width="2.28125" style="6" hidden="1" customWidth="1"/>
    <col min="27" max="27" width="2.421875" style="6" hidden="1" customWidth="1"/>
    <col min="28" max="29" width="2.28125" style="6" hidden="1" customWidth="1"/>
    <col min="30" max="30" width="3.8515625" style="6" hidden="1" customWidth="1"/>
    <col min="31" max="31" width="7.140625" style="6" hidden="1" customWidth="1"/>
    <col min="32" max="32" width="15.421875" style="6" hidden="1" customWidth="1"/>
    <col min="33" max="33" width="7.140625" style="6" hidden="1" customWidth="1"/>
    <col min="34" max="34" width="15.421875" style="6" hidden="1" customWidth="1"/>
    <col min="35" max="35" width="7.140625" style="6" hidden="1" customWidth="1"/>
    <col min="36" max="36" width="15.421875" style="6" hidden="1" customWidth="1"/>
    <col min="37" max="37" width="7.140625" style="6" hidden="1" customWidth="1"/>
    <col min="38" max="38" width="3.8515625" style="6" hidden="1" customWidth="1"/>
    <col min="39" max="39" width="15.421875" style="6" hidden="1" customWidth="1"/>
    <col min="40" max="40" width="7.140625" style="6" hidden="1" customWidth="1"/>
    <col min="41" max="41" width="3.8515625" style="6" hidden="1" customWidth="1"/>
    <col min="42" max="42" width="15.421875" style="6" hidden="1" customWidth="1"/>
    <col min="43" max="43" width="7.140625" style="6" hidden="1" customWidth="1"/>
    <col min="44" max="44" width="3.8515625" style="6" hidden="1" customWidth="1"/>
    <col min="45" max="45" width="15.421875" style="6" hidden="1" customWidth="1"/>
    <col min="46" max="46" width="7.140625" style="6" hidden="1" customWidth="1"/>
    <col min="47" max="47" width="3.8515625" style="6" hidden="1" customWidth="1"/>
    <col min="48" max="48" width="2.28125" style="6" hidden="1" customWidth="1"/>
    <col min="49" max="49" width="15.421875" style="6" hidden="1" customWidth="1"/>
    <col min="50" max="50" width="7.140625" style="6" hidden="1" customWidth="1"/>
    <col min="51" max="51" width="3.8515625" style="6" hidden="1" customWidth="1"/>
    <col min="52" max="52" width="2.28125" style="6" hidden="1" customWidth="1"/>
    <col min="53" max="53" width="15.421875" style="6" hidden="1" customWidth="1"/>
    <col min="54" max="54" width="7.140625" style="6" hidden="1" customWidth="1"/>
    <col min="55" max="55" width="3.8515625" style="6" hidden="1" customWidth="1"/>
    <col min="56" max="56" width="2.28125" style="6" hidden="1" customWidth="1"/>
    <col min="57" max="57" width="15.421875" style="6" hidden="1" customWidth="1"/>
    <col min="58" max="58" width="7.140625" style="6" hidden="1" customWidth="1"/>
    <col min="59" max="59" width="3.8515625" style="6" hidden="1" customWidth="1"/>
    <col min="60" max="60" width="2.28125" style="6" hidden="1" customWidth="1"/>
    <col min="61" max="63" width="9.140625" style="6" hidden="1" customWidth="1"/>
    <col min="64" max="64" width="15.421875" style="6" hidden="1" customWidth="1"/>
    <col min="65" max="65" width="2.28125" style="6" hidden="1" customWidth="1"/>
    <col min="66" max="66" width="3.140625" style="6" hidden="1" customWidth="1"/>
    <col min="67" max="67" width="2.28125" style="6" hidden="1" customWidth="1"/>
    <col min="68" max="68" width="2.421875" style="6" hidden="1" customWidth="1"/>
    <col min="69" max="70" width="2.28125" style="6" hidden="1" customWidth="1"/>
    <col min="71" max="71" width="3.8515625" style="6" hidden="1" customWidth="1"/>
    <col min="72" max="72" width="7.140625" style="6" hidden="1" customWidth="1"/>
    <col min="73" max="16384" width="9.140625" style="6" customWidth="1"/>
  </cols>
  <sheetData>
    <row r="1" spans="3:12" ht="54.75" customHeight="1" hidden="1">
      <c r="C1" s="64"/>
      <c r="D1" s="65"/>
      <c r="E1" s="65"/>
      <c r="F1" s="65"/>
      <c r="G1" s="65"/>
      <c r="H1" s="65"/>
      <c r="I1" s="65"/>
      <c r="J1" s="7"/>
      <c r="K1" s="7"/>
      <c r="L1" s="7"/>
    </row>
    <row r="2" ht="12.75" hidden="1"/>
    <row r="3" spans="10:57" ht="11.25" customHeight="1" hidden="1">
      <c r="J3" s="6" t="s">
        <v>0</v>
      </c>
      <c r="K3" s="6" t="s">
        <v>1</v>
      </c>
      <c r="W3" s="6" t="s">
        <v>2</v>
      </c>
      <c r="AF3" s="6" t="s">
        <v>3</v>
      </c>
      <c r="AH3" s="6" t="s">
        <v>4</v>
      </c>
      <c r="AJ3" s="6" t="s">
        <v>5</v>
      </c>
      <c r="AM3" s="6" t="s">
        <v>6</v>
      </c>
      <c r="AP3" s="6" t="s">
        <v>7</v>
      </c>
      <c r="AS3" s="6" t="s">
        <v>8</v>
      </c>
      <c r="AW3" s="6" t="s">
        <v>9</v>
      </c>
      <c r="BA3" s="6" t="s">
        <v>10</v>
      </c>
      <c r="BE3" s="6" t="s">
        <v>11</v>
      </c>
    </row>
    <row r="4" spans="2:21" ht="15">
      <c r="B4" s="57" t="s">
        <v>70</v>
      </c>
      <c r="C4" s="56"/>
      <c r="D4" s="61"/>
      <c r="E4" s="59"/>
      <c r="F4" s="40"/>
      <c r="G4" s="40"/>
      <c r="H4" s="39"/>
      <c r="I4" s="41"/>
      <c r="M4" s="9" t="s">
        <v>36</v>
      </c>
      <c r="N4" s="10"/>
      <c r="O4" s="10"/>
      <c r="P4" s="10"/>
      <c r="Q4" s="10"/>
      <c r="R4" s="10"/>
      <c r="S4" s="10"/>
      <c r="T4" s="10"/>
      <c r="U4" s="11"/>
    </row>
    <row r="5" spans="2:21" ht="15">
      <c r="B5" s="42" t="s">
        <v>35</v>
      </c>
      <c r="C5" s="12" t="s">
        <v>59</v>
      </c>
      <c r="D5" s="12"/>
      <c r="E5" s="12"/>
      <c r="F5" s="12"/>
      <c r="G5" s="12"/>
      <c r="H5" s="12" t="s">
        <v>60</v>
      </c>
      <c r="I5" s="13"/>
      <c r="M5" s="14"/>
      <c r="N5" s="15" t="s">
        <v>39</v>
      </c>
      <c r="O5" s="15" t="s">
        <v>40</v>
      </c>
      <c r="P5" s="15" t="s">
        <v>16</v>
      </c>
      <c r="Q5" s="15" t="s">
        <v>41</v>
      </c>
      <c r="R5" s="15" t="s">
        <v>42</v>
      </c>
      <c r="S5" s="15" t="s">
        <v>43</v>
      </c>
      <c r="T5" s="15" t="s">
        <v>44</v>
      </c>
      <c r="U5" s="16" t="s">
        <v>45</v>
      </c>
    </row>
    <row r="6" spans="2:23" ht="13.5" thickBot="1">
      <c r="B6" s="18"/>
      <c r="C6" s="18"/>
      <c r="D6" s="17"/>
      <c r="E6" s="18"/>
      <c r="F6" s="18"/>
      <c r="G6" s="19"/>
      <c r="H6" s="18"/>
      <c r="I6" s="18"/>
      <c r="M6" s="44" t="str">
        <f>BL8</f>
        <v>Nässjö City</v>
      </c>
      <c r="N6" s="20">
        <f aca="true" t="shared" si="0" ref="N6:U8">BM8</f>
        <v>0</v>
      </c>
      <c r="O6" s="20">
        <f t="shared" si="0"/>
        <v>0</v>
      </c>
      <c r="P6" s="20">
        <f t="shared" si="0"/>
        <v>0</v>
      </c>
      <c r="Q6" s="20">
        <f t="shared" si="0"/>
        <v>0</v>
      </c>
      <c r="R6" s="20">
        <f t="shared" si="0"/>
        <v>0</v>
      </c>
      <c r="S6" s="20">
        <f t="shared" si="0"/>
        <v>0</v>
      </c>
      <c r="T6" s="20">
        <f t="shared" si="0"/>
        <v>0</v>
      </c>
      <c r="U6" s="21">
        <f t="shared" si="0"/>
        <v>0</v>
      </c>
      <c r="W6" s="6" t="s">
        <v>36</v>
      </c>
    </row>
    <row r="7" spans="2:72" ht="13.5" thickBot="1">
      <c r="B7" s="36">
        <v>0.7291666666666666</v>
      </c>
      <c r="C7" s="36" t="str">
        <f>W8</f>
        <v>Nässjö City</v>
      </c>
      <c r="D7" s="22" t="s">
        <v>23</v>
      </c>
      <c r="E7" s="4"/>
      <c r="F7" s="5"/>
      <c r="G7" s="22" t="s">
        <v>27</v>
      </c>
      <c r="H7" s="24" t="str">
        <f>W9</f>
        <v>Solberga GIF</v>
      </c>
      <c r="I7" s="24" t="s">
        <v>17</v>
      </c>
      <c r="J7" s="6">
        <f>IF(E7&lt;&gt;"",IF(E7&gt;F7,D7,IF(F7&gt;E7,G7,"Draw")),"")</f>
      </c>
      <c r="K7" s="6">
        <f>IF(E7&lt;&gt;"",IF(E7&lt;F7,D7,IF(F7&lt;E7,G7,"Draw")),"")</f>
      </c>
      <c r="M7" s="44" t="str">
        <f>BL9</f>
        <v>Solberga GIF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1">
        <f t="shared" si="0"/>
        <v>0</v>
      </c>
      <c r="X7" s="6" t="s">
        <v>20</v>
      </c>
      <c r="Y7" s="6" t="s">
        <v>13</v>
      </c>
      <c r="Z7" s="6" t="s">
        <v>14</v>
      </c>
      <c r="AA7" s="6" t="s">
        <v>15</v>
      </c>
      <c r="AB7" s="6" t="s">
        <v>16</v>
      </c>
      <c r="AC7" s="6" t="s">
        <v>17</v>
      </c>
      <c r="AD7" s="6" t="s">
        <v>18</v>
      </c>
      <c r="AE7" s="6" t="s">
        <v>21</v>
      </c>
      <c r="AF7" s="6" t="s">
        <v>22</v>
      </c>
      <c r="AG7" s="25" t="s">
        <v>21</v>
      </c>
      <c r="AH7" s="6" t="s">
        <v>22</v>
      </c>
      <c r="AI7" s="25" t="s">
        <v>21</v>
      </c>
      <c r="AJ7" s="6" t="s">
        <v>22</v>
      </c>
      <c r="AK7" s="25" t="s">
        <v>21</v>
      </c>
      <c r="AL7" s="25" t="s">
        <v>18</v>
      </c>
      <c r="AM7" s="6" t="s">
        <v>22</v>
      </c>
      <c r="AN7" s="6" t="s">
        <v>21</v>
      </c>
      <c r="AO7" s="25" t="s">
        <v>18</v>
      </c>
      <c r="AP7" s="6" t="s">
        <v>22</v>
      </c>
      <c r="AQ7" s="6" t="s">
        <v>21</v>
      </c>
      <c r="AR7" s="25" t="s">
        <v>18</v>
      </c>
      <c r="AS7" s="6" t="s">
        <v>22</v>
      </c>
      <c r="AT7" s="6" t="s">
        <v>21</v>
      </c>
      <c r="AU7" s="25" t="s">
        <v>18</v>
      </c>
      <c r="AV7" s="25" t="s">
        <v>16</v>
      </c>
      <c r="AW7" s="6" t="s">
        <v>22</v>
      </c>
      <c r="AX7" s="6" t="s">
        <v>21</v>
      </c>
      <c r="AY7" s="25" t="s">
        <v>18</v>
      </c>
      <c r="AZ7" s="25" t="s">
        <v>16</v>
      </c>
      <c r="BA7" s="6" t="s">
        <v>22</v>
      </c>
      <c r="BB7" s="6" t="s">
        <v>21</v>
      </c>
      <c r="BC7" s="25" t="s">
        <v>18</v>
      </c>
      <c r="BD7" s="25" t="s">
        <v>16</v>
      </c>
      <c r="BE7" s="6" t="s">
        <v>22</v>
      </c>
      <c r="BF7" s="25" t="s">
        <v>21</v>
      </c>
      <c r="BG7" s="25" t="s">
        <v>18</v>
      </c>
      <c r="BH7" s="25" t="s">
        <v>16</v>
      </c>
      <c r="BM7" s="25" t="s">
        <v>12</v>
      </c>
      <c r="BN7" s="25" t="s">
        <v>13</v>
      </c>
      <c r="BO7" s="25" t="s">
        <v>14</v>
      </c>
      <c r="BP7" s="25" t="s">
        <v>15</v>
      </c>
      <c r="BQ7" s="25" t="s">
        <v>16</v>
      </c>
      <c r="BR7" s="25" t="s">
        <v>17</v>
      </c>
      <c r="BS7" s="25" t="s">
        <v>18</v>
      </c>
      <c r="BT7" s="25" t="s">
        <v>21</v>
      </c>
    </row>
    <row r="8" spans="2:72" ht="13.5" thickBot="1">
      <c r="B8" s="36">
        <v>0.7465277777777778</v>
      </c>
      <c r="C8" s="36" t="str">
        <f>W17</f>
        <v>Stensjöns IF</v>
      </c>
      <c r="D8" s="22" t="s">
        <v>32</v>
      </c>
      <c r="E8" s="4"/>
      <c r="F8" s="5"/>
      <c r="G8" s="22" t="s">
        <v>33</v>
      </c>
      <c r="H8" s="24" t="str">
        <f>W18</f>
        <v>Bodafors SK</v>
      </c>
      <c r="I8" s="24" t="s">
        <v>19</v>
      </c>
      <c r="J8" s="6">
        <f>IF(E9&lt;&gt;"",IF(E9&gt;F9,D9,IF(F9&gt;E9,G9,"Draw")),"")</f>
      </c>
      <c r="K8" s="6">
        <f>IF(E9&lt;&gt;"",IF(E9&lt;F9,D9,IF(F9&lt;E9,G9,"Draw")),"")</f>
      </c>
      <c r="M8" s="44" t="str">
        <f>BL10</f>
        <v>Malmbäcks IF</v>
      </c>
      <c r="N8" s="20">
        <f t="shared" si="0"/>
        <v>0</v>
      </c>
      <c r="O8" s="20">
        <f t="shared" si="0"/>
        <v>0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0">
        <f t="shared" si="0"/>
        <v>0</v>
      </c>
      <c r="U8" s="21">
        <f t="shared" si="0"/>
        <v>0</v>
      </c>
      <c r="W8" s="6" t="s">
        <v>67</v>
      </c>
      <c r="X8" s="6">
        <f>COUNT(France_Played)</f>
        <v>0</v>
      </c>
      <c r="Y8" s="6">
        <f>COUNTIF(Groupstage_Winners,"France")</f>
        <v>0</v>
      </c>
      <c r="Z8" s="6">
        <f>COUNTIF(Groupstage_Losers,"France")</f>
        <v>0</v>
      </c>
      <c r="AA8" s="6">
        <f>X8-(Y8+Z8)</f>
        <v>0</v>
      </c>
      <c r="AB8" s="6">
        <f>SUM(France_Played)</f>
        <v>0</v>
      </c>
      <c r="AC8" s="6">
        <f>SUM(France_Against)</f>
        <v>0</v>
      </c>
      <c r="AD8" s="6">
        <f>AB8-AC8</f>
        <v>0</v>
      </c>
      <c r="AE8" s="6">
        <f>Y8*Winpoints+AA8*Drawpoints</f>
        <v>0</v>
      </c>
      <c r="AF8" s="6" t="str">
        <f>IF($AE8&gt;=$AE9,$W8,$W9)</f>
        <v>Nässjö City</v>
      </c>
      <c r="AG8" s="6">
        <f>VLOOKUP($AF8,$W8:$AE11,9,FALSE)</f>
        <v>0</v>
      </c>
      <c r="AH8" s="6" t="str">
        <f>IF($AG8&gt;=$AG10,$AF8,$AF10)</f>
        <v>Nässjö City</v>
      </c>
      <c r="AI8" s="6">
        <f>VLOOKUP($AH8,$W8:$AE11,9,FALSE)</f>
        <v>0</v>
      </c>
      <c r="AJ8" s="6" t="str">
        <f>IF($AI8&gt;=$AI11,$AH8,$AH11)</f>
        <v>Nässjö City</v>
      </c>
      <c r="AK8" s="6">
        <f>VLOOKUP($AJ8,$W8:$AE11,9,FALSE)</f>
        <v>0</v>
      </c>
      <c r="AL8" s="6">
        <f>VLOOKUP($AJ8,$W8:$AE11,8,FALSE)</f>
        <v>0</v>
      </c>
      <c r="AM8" s="6" t="str">
        <f>IF(AND($AK8=$AK9,$AL9&gt;$AL8),$AJ9,$AJ8)</f>
        <v>Nässjö City</v>
      </c>
      <c r="AN8" s="6">
        <f>VLOOKUP($AM8,$W8:$AE11,9,FALSE)</f>
        <v>0</v>
      </c>
      <c r="AO8" s="6">
        <f>VLOOKUP($AM8,$W8:$AE11,8,FALSE)</f>
        <v>0</v>
      </c>
      <c r="AP8" s="6" t="str">
        <f>IF(AND($AN8=$AN10,$AO10&gt;$AO8),$AM10,$AM8)</f>
        <v>Nässjö City</v>
      </c>
      <c r="AQ8" s="6">
        <f>VLOOKUP($AP8,$W8:$AE11,9,FALSE)</f>
        <v>0</v>
      </c>
      <c r="AR8" s="6">
        <f>VLOOKUP($AP8,$W8:$AE11,8,FALSE)</f>
        <v>0</v>
      </c>
      <c r="AS8" s="6" t="str">
        <f>IF(AND($AQ8=$AQ11,$AR11&gt;$AR8),$AP11,$AP8)</f>
        <v>Nässjö City</v>
      </c>
      <c r="AT8" s="6">
        <f>VLOOKUP($AS8,$W8:$AE11,9,FALSE)</f>
        <v>0</v>
      </c>
      <c r="AU8" s="6">
        <f>VLOOKUP($AS8,$W8:$AE11,8,FALSE)</f>
        <v>0</v>
      </c>
      <c r="AV8" s="6">
        <f>VLOOKUP($AS8,$W8:$AE11,6,FALSE)</f>
        <v>0</v>
      </c>
      <c r="AW8" s="6" t="str">
        <f>IF(AND($AT8=$AT9,$AU8=$AU9,$AV9&gt;$AV8),$AS9,$AS8)</f>
        <v>Nässjö City</v>
      </c>
      <c r="AX8" s="6">
        <f>VLOOKUP($AW8,$W8:$AE11,9,FALSE)</f>
        <v>0</v>
      </c>
      <c r="AY8" s="6">
        <f>VLOOKUP($AW8,$W8:$AE11,8,FALSE)</f>
        <v>0</v>
      </c>
      <c r="AZ8" s="6">
        <f>VLOOKUP($AW8,$W8:$AE11,6,FALSE)</f>
        <v>0</v>
      </c>
      <c r="BA8" s="6" t="str">
        <f>IF(AND($AX8=$AX10,$AY8=$AY10,$AZ10&gt;$AZ8),$AW10,$AW8)</f>
        <v>Nässjö City</v>
      </c>
      <c r="BB8" s="6">
        <f>VLOOKUP($BA8,$W8:$AE11,9,FALSE)</f>
        <v>0</v>
      </c>
      <c r="BC8" s="6">
        <f>VLOOKUP($BA8,$W8:$AE11,8,FALSE)</f>
        <v>0</v>
      </c>
      <c r="BD8" s="6">
        <f>VLOOKUP($BA8,$W8:$AE11,6,FALSE)</f>
        <v>0</v>
      </c>
      <c r="BE8" s="6" t="str">
        <f>IF(AND($BB8=$BB11,$BC8=$BC11,$BD11&gt;$BD8),$BA11,$BA8)</f>
        <v>Nässjö City</v>
      </c>
      <c r="BF8" s="6">
        <f>VLOOKUP($BE8,$W8:$AE11,9,FALSE)</f>
        <v>0</v>
      </c>
      <c r="BG8" s="6">
        <f>VLOOKUP($BE8,$W8:$AE11,8,FALSE)</f>
        <v>0</v>
      </c>
      <c r="BH8" s="6">
        <f>VLOOKUP($BE8,$W8:$AE11,6,FALSE)</f>
        <v>0</v>
      </c>
      <c r="BL8" s="6" t="str">
        <f>BE8</f>
        <v>Nässjö City</v>
      </c>
      <c r="BM8" s="6">
        <f>VLOOKUP($BL8,$W8:$AE11,2,FALSE)</f>
        <v>0</v>
      </c>
      <c r="BN8" s="6">
        <f>VLOOKUP($BL8,$W8:$AE11,3,FALSE)</f>
        <v>0</v>
      </c>
      <c r="BO8" s="6">
        <f>VLOOKUP($BL8,$W8:$AE11,4,FALSE)</f>
        <v>0</v>
      </c>
      <c r="BP8" s="6">
        <f>VLOOKUP($BL8,$W8:$AE11,5,FALSE)</f>
        <v>0</v>
      </c>
      <c r="BQ8" s="6">
        <f>VLOOKUP($BL8,$W8:$AE11,6,FALSE)</f>
        <v>0</v>
      </c>
      <c r="BR8" s="6">
        <f>VLOOKUP($BL8,$W8:$AE11,7,FALSE)</f>
        <v>0</v>
      </c>
      <c r="BS8" s="6">
        <f>VLOOKUP($BL8,$W8:$AE11,8,FALSE)</f>
        <v>0</v>
      </c>
      <c r="BT8" s="6">
        <f>VLOOKUP($BL8,$W8:$AE11,9,FALSE)</f>
        <v>0</v>
      </c>
    </row>
    <row r="9" spans="2:72" ht="13.5" thickBot="1">
      <c r="B9" s="36">
        <v>0.7638888888888888</v>
      </c>
      <c r="C9" s="36" t="str">
        <f>W10</f>
        <v>Malmbäcks IF</v>
      </c>
      <c r="D9" s="22" t="s">
        <v>28</v>
      </c>
      <c r="E9" s="4"/>
      <c r="F9" s="5"/>
      <c r="G9" s="22" t="s">
        <v>29</v>
      </c>
      <c r="H9" s="24" t="str">
        <f>W11</f>
        <v>Sävsjö FF</v>
      </c>
      <c r="I9" s="24" t="s">
        <v>17</v>
      </c>
      <c r="J9" s="6">
        <f>IF(E8&lt;&gt;"",IF(E8&gt;F8,D8,IF(F8&gt;E8,G8,"Draw")),"")</f>
      </c>
      <c r="K9" s="6">
        <f>IF(E8&lt;&gt;"",IF(E8&lt;F8,D8,IF(F8&lt;E8,G8,"Draw")),"")</f>
      </c>
      <c r="M9" s="45" t="str">
        <f>BL11</f>
        <v>Sävsjö FF</v>
      </c>
      <c r="N9" s="26">
        <f aca="true" t="shared" si="1" ref="N9:U9">BM11</f>
        <v>0</v>
      </c>
      <c r="O9" s="26">
        <f t="shared" si="1"/>
        <v>0</v>
      </c>
      <c r="P9" s="26">
        <f t="shared" si="1"/>
        <v>0</v>
      </c>
      <c r="Q9" s="26">
        <f t="shared" si="1"/>
        <v>0</v>
      </c>
      <c r="R9" s="26">
        <f t="shared" si="1"/>
        <v>0</v>
      </c>
      <c r="S9" s="26">
        <f t="shared" si="1"/>
        <v>0</v>
      </c>
      <c r="T9" s="26">
        <f t="shared" si="1"/>
        <v>0</v>
      </c>
      <c r="U9" s="27">
        <f t="shared" si="1"/>
        <v>0</v>
      </c>
      <c r="W9" s="6" t="s">
        <v>64</v>
      </c>
      <c r="X9" s="6">
        <f>COUNT(Senegal_Played)</f>
        <v>0</v>
      </c>
      <c r="Y9" s="6">
        <f>COUNTIF(Groupstage_Winners,"Senegal")</f>
        <v>0</v>
      </c>
      <c r="Z9" s="6">
        <f>COUNTIF(Groupstage_Losers,"Senegal")</f>
        <v>0</v>
      </c>
      <c r="AA9" s="6">
        <f>X9-(Y9+Z9)</f>
        <v>0</v>
      </c>
      <c r="AB9" s="6">
        <f>SUM(Senegal_Played)</f>
        <v>0</v>
      </c>
      <c r="AC9" s="6">
        <f>SUM(Senegal_Against)</f>
        <v>0</v>
      </c>
      <c r="AD9" s="6">
        <f>AB9-AC9</f>
        <v>0</v>
      </c>
      <c r="AE9" s="6">
        <f>Y9*Winpoints+AA9*Drawpoints</f>
        <v>0</v>
      </c>
      <c r="AF9" s="6" t="str">
        <f>IF($AE9&lt;=$AE8,$W9,$W8)</f>
        <v>Solberga GIF</v>
      </c>
      <c r="AG9" s="6">
        <f>VLOOKUP($AF9,$W8:$AE11,9,FALSE)</f>
        <v>0</v>
      </c>
      <c r="AH9" s="6" t="str">
        <f>IF(AG9&gt;=AG11,AF9,AF11)</f>
        <v>Solberga GIF</v>
      </c>
      <c r="AI9" s="6">
        <f>VLOOKUP($AH9,$W8:$AE11,9,FALSE)</f>
        <v>0</v>
      </c>
      <c r="AJ9" s="6" t="str">
        <f>IF($AI9&gt;=$AI10,$AH9,$AH10)</f>
        <v>Solberga GIF</v>
      </c>
      <c r="AK9" s="6">
        <f>VLOOKUP($AJ9,$W8:$AE11,9,FALSE)</f>
        <v>0</v>
      </c>
      <c r="AL9" s="6">
        <f>VLOOKUP($AJ9,$W8:$AE11,8,FALSE)</f>
        <v>0</v>
      </c>
      <c r="AM9" s="6" t="str">
        <f>IF(AND($AK8=$AK9,$AL9&gt;$AL8),$AJ8,$AJ9)</f>
        <v>Solberga GIF</v>
      </c>
      <c r="AN9" s="6">
        <f>VLOOKUP($AM9,$W8:$AE11,9,FALSE)</f>
        <v>0</v>
      </c>
      <c r="AO9" s="6">
        <f>VLOOKUP($AM9,$W8:$AE11,8,FALSE)</f>
        <v>0</v>
      </c>
      <c r="AP9" s="6" t="str">
        <f>IF(AND($AN9=$AN11,$AO11&gt;$AO9),$AM11,$AM9)</f>
        <v>Solberga GIF</v>
      </c>
      <c r="AQ9" s="6">
        <f>VLOOKUP($AP9,$W8:$AE11,9,FALSE)</f>
        <v>0</v>
      </c>
      <c r="AR9" s="6">
        <f>VLOOKUP($AP9,$W8:$AE11,8,FALSE)</f>
        <v>0</v>
      </c>
      <c r="AS9" s="6" t="str">
        <f>IF(AND($AQ9=$AQ10,$AR10&gt;$AR9),$AP10,$AP9)</f>
        <v>Solberga GIF</v>
      </c>
      <c r="AT9" s="6">
        <f>VLOOKUP($AS9,$W8:$AE11,9,FALSE)</f>
        <v>0</v>
      </c>
      <c r="AU9" s="6">
        <f>VLOOKUP($AS9,$W8:$AE11,8,FALSE)</f>
        <v>0</v>
      </c>
      <c r="AV9" s="6">
        <f>VLOOKUP($AS9,$W8:$AE11,6,FALSE)</f>
        <v>0</v>
      </c>
      <c r="AW9" s="6" t="str">
        <f>IF(AND($AT8=$AT9,$AU8=$AU9,$AV9&gt;$AV8),$AS8,$AS9)</f>
        <v>Solberga GIF</v>
      </c>
      <c r="AX9" s="6">
        <f>VLOOKUP($AW9,$W8:$AE11,9,FALSE)</f>
        <v>0</v>
      </c>
      <c r="AY9" s="6">
        <f>VLOOKUP($AW9,$W8:$AE11,8,FALSE)</f>
        <v>0</v>
      </c>
      <c r="AZ9" s="6">
        <f>VLOOKUP($AW9,$W8:$AE11,6,FALSE)</f>
        <v>0</v>
      </c>
      <c r="BA9" s="6" t="str">
        <f>IF(AND($AX9=$AX11,$AY9=$AY11,$AZ11&gt;$AZ9),$AW11,$AW9)</f>
        <v>Solberga GIF</v>
      </c>
      <c r="BB9" s="6">
        <f>VLOOKUP($BA9,$W8:$AE11,9,FALSE)</f>
        <v>0</v>
      </c>
      <c r="BC9" s="6">
        <f>VLOOKUP($BA9,$W8:$AE11,8,FALSE)</f>
        <v>0</v>
      </c>
      <c r="BD9" s="6">
        <f>VLOOKUP($BA9,$W8:$AE11,6,FALSE)</f>
        <v>0</v>
      </c>
      <c r="BE9" s="6" t="str">
        <f>IF(AND($BB9=$BB10,$BC9=$BC10,$BD10&gt;$BD9),$BA10,$BA9)</f>
        <v>Solberga GIF</v>
      </c>
      <c r="BF9" s="6">
        <f>VLOOKUP($BE9,$W8:$AE11,9,FALSE)</f>
        <v>0</v>
      </c>
      <c r="BG9" s="6">
        <f>VLOOKUP($BE9,$W8:$AE11,8,FALSE)</f>
        <v>0</v>
      </c>
      <c r="BH9" s="6">
        <f>VLOOKUP($BE9,$W8:$AE11,6,FALSE)</f>
        <v>0</v>
      </c>
      <c r="BL9" s="6" t="str">
        <f>BE9</f>
        <v>Solberga GIF</v>
      </c>
      <c r="BM9" s="6">
        <f>VLOOKUP($BL9,$W8:$AE11,2,FALSE)</f>
        <v>0</v>
      </c>
      <c r="BN9" s="6">
        <f>VLOOKUP($BL9,$W8:$AE11,3,FALSE)</f>
        <v>0</v>
      </c>
      <c r="BO9" s="6">
        <f>VLOOKUP($BL9,$W8:$AE11,4,FALSE)</f>
        <v>0</v>
      </c>
      <c r="BP9" s="6">
        <f>VLOOKUP($BL9,$W8:$AE11,5,FALSE)</f>
        <v>0</v>
      </c>
      <c r="BQ9" s="6">
        <f>VLOOKUP($BL9,$W8:$AE11,6,FALSE)</f>
        <v>0</v>
      </c>
      <c r="BR9" s="6">
        <f>VLOOKUP($BL9,$W8:$AE11,7,FALSE)</f>
        <v>0</v>
      </c>
      <c r="BS9" s="6">
        <f>VLOOKUP($BL9,$W8:$AE11,8,FALSE)</f>
        <v>0</v>
      </c>
      <c r="BT9" s="6">
        <f>VLOOKUP($BL9,$W8:$AE11,9,FALSE)</f>
        <v>0</v>
      </c>
    </row>
    <row r="10" spans="2:72" ht="13.5" thickBot="1">
      <c r="B10" s="62">
        <v>0.78125</v>
      </c>
      <c r="C10" s="62" t="str">
        <f>W15</f>
        <v>Annebergs IF</v>
      </c>
      <c r="D10" s="22" t="s">
        <v>30</v>
      </c>
      <c r="E10" s="4"/>
      <c r="F10" s="5"/>
      <c r="G10" s="22" t="s">
        <v>31</v>
      </c>
      <c r="H10" s="63" t="str">
        <f>W16</f>
        <v>Nässjö FF</v>
      </c>
      <c r="I10" s="24" t="s">
        <v>19</v>
      </c>
      <c r="J10" s="6">
        <f>IF(E10&lt;&gt;"",IF(E10&gt;F10,D10,IF(F10&gt;E10,G10,"Draw")),"")</f>
      </c>
      <c r="K10" s="6">
        <f>IF(E10&lt;&gt;"",IF(E10&lt;F10,D10,IF(F10&lt;E10,G10,"Draw")),"")</f>
      </c>
      <c r="W10" s="6" t="s">
        <v>52</v>
      </c>
      <c r="X10" s="6">
        <f>COUNT(Uruguay_Played)</f>
        <v>0</v>
      </c>
      <c r="Y10" s="6">
        <f>COUNTIF(Groupstage_Winners,"Uruguay")</f>
        <v>0</v>
      </c>
      <c r="Z10" s="6">
        <f>COUNTIF(Groupstage_Losers,"Uruguay")</f>
        <v>0</v>
      </c>
      <c r="AA10" s="6">
        <f>X10-(Y10+Z10)</f>
        <v>0</v>
      </c>
      <c r="AB10" s="6">
        <f>SUM(Uruguay_Played)</f>
        <v>0</v>
      </c>
      <c r="AC10" s="6">
        <f>SUM(Uruguay_Against)</f>
        <v>0</v>
      </c>
      <c r="AD10" s="6">
        <f>AB10-AC10</f>
        <v>0</v>
      </c>
      <c r="AE10" s="6">
        <f>Y10*Winpoints+AA10*Drawpoints</f>
        <v>0</v>
      </c>
      <c r="AF10" s="6" t="str">
        <f>IF($AE10&gt;=$AE11,$W10,$W11)</f>
        <v>Malmbäcks IF</v>
      </c>
      <c r="AG10" s="6">
        <f>VLOOKUP($AF10,$W8:$AE11,9,FALSE)</f>
        <v>0</v>
      </c>
      <c r="AH10" s="6" t="str">
        <f>IF($AG10&lt;=$AG8,$AF10,$AF8)</f>
        <v>Malmbäcks IF</v>
      </c>
      <c r="AI10" s="6">
        <f>VLOOKUP($AH10,$W8:$AE11,9,FALSE)</f>
        <v>0</v>
      </c>
      <c r="AJ10" s="6" t="str">
        <f>IF($AI10&lt;=$AI9,$AH10,$AH9)</f>
        <v>Malmbäcks IF</v>
      </c>
      <c r="AK10" s="6">
        <f>VLOOKUP($AJ10,$W8:$AE11,9,FALSE)</f>
        <v>0</v>
      </c>
      <c r="AL10" s="6">
        <f>VLOOKUP($AJ10,$W8:$AE11,8,FALSE)</f>
        <v>0</v>
      </c>
      <c r="AM10" s="6" t="str">
        <f>IF(AND($AK10=$AK11,$AL11&gt;$AL10),$AJ11,$AJ10)</f>
        <v>Malmbäcks IF</v>
      </c>
      <c r="AN10" s="6">
        <f>VLOOKUP($AM10,$W8:$AE11,9,FALSE)</f>
        <v>0</v>
      </c>
      <c r="AO10" s="6">
        <f>VLOOKUP($AM10,$W8:$AE11,8,FALSE)</f>
        <v>0</v>
      </c>
      <c r="AP10" s="6" t="str">
        <f>IF(AND($AN8=$AN10,$AO10&gt;$AO8),$AM8,$AM10)</f>
        <v>Malmbäcks IF</v>
      </c>
      <c r="AQ10" s="6">
        <f>VLOOKUP($AP10,$W8:$AE11,9,FALSE)</f>
        <v>0</v>
      </c>
      <c r="AR10" s="6">
        <f>VLOOKUP($AP10,$W8:$AE11,8,FALSE)</f>
        <v>0</v>
      </c>
      <c r="AS10" s="6" t="str">
        <f>IF(AND($AQ9=$AQ10,$AR10&gt;$AR9),$AP9,$AP10)</f>
        <v>Malmbäcks IF</v>
      </c>
      <c r="AT10" s="6">
        <f>VLOOKUP($AS10,$W8:$AE11,9,FALSE)</f>
        <v>0</v>
      </c>
      <c r="AU10" s="6">
        <f>VLOOKUP($AS10,$W8:$AE11,8,FALSE)</f>
        <v>0</v>
      </c>
      <c r="AV10" s="6">
        <f>VLOOKUP($AS10,$W8:$AE11,6,FALSE)</f>
        <v>0</v>
      </c>
      <c r="AW10" s="6" t="str">
        <f>IF(AND($AT10=$AT11,$AU10=$AU11,$AV11&gt;$AV10),$AS11,$AS10)</f>
        <v>Malmbäcks IF</v>
      </c>
      <c r="AX10" s="6">
        <f>VLOOKUP($AW10,$W8:$AE11,9,FALSE)</f>
        <v>0</v>
      </c>
      <c r="AY10" s="6">
        <f>VLOOKUP($AW10,$W8:$AE11,8,FALSE)</f>
        <v>0</v>
      </c>
      <c r="AZ10" s="6">
        <f>VLOOKUP($AW10,$W8:$AE11,6,FALSE)</f>
        <v>0</v>
      </c>
      <c r="BA10" s="6" t="str">
        <f>IF(AND($AX8=$AX10,$AY8=$AY10,$AZ9&gt;$AZ8),$AW8,$AW10)</f>
        <v>Malmbäcks IF</v>
      </c>
      <c r="BB10" s="6">
        <f>VLOOKUP($BA10,$W8:$AE11,9,FALSE)</f>
        <v>0</v>
      </c>
      <c r="BC10" s="6">
        <f>VLOOKUP($BA10,$W8:$AE11,8,FALSE)</f>
        <v>0</v>
      </c>
      <c r="BD10" s="6">
        <f>VLOOKUP($BA10,$W8:$AE11,6,FALSE)</f>
        <v>0</v>
      </c>
      <c r="BE10" s="6" t="str">
        <f>IF(AND($BB9=$BB10,$BC9=$BC10,$BD10&gt;$BD9),$BA9,$BA10)</f>
        <v>Malmbäcks IF</v>
      </c>
      <c r="BF10" s="6">
        <f>VLOOKUP($BE10,$W8:$AE11,9,FALSE)</f>
        <v>0</v>
      </c>
      <c r="BG10" s="6">
        <f>VLOOKUP($BE10,$W8:$AE11,8,FALSE)</f>
        <v>0</v>
      </c>
      <c r="BH10" s="6">
        <f>VLOOKUP($BE10,$W8:$AE11,6,FALSE)</f>
        <v>0</v>
      </c>
      <c r="BL10" s="6" t="str">
        <f>BE10</f>
        <v>Malmbäcks IF</v>
      </c>
      <c r="BM10" s="6">
        <f>VLOOKUP($BL10,$W8:$AE11,2,FALSE)</f>
        <v>0</v>
      </c>
      <c r="BN10" s="6">
        <f>VLOOKUP($BL10,$W8:$AE11,3,FALSE)</f>
        <v>0</v>
      </c>
      <c r="BO10" s="6">
        <f>VLOOKUP($BL10,$W8:$AE11,4,FALSE)</f>
        <v>0</v>
      </c>
      <c r="BP10" s="6">
        <f>VLOOKUP($BL10,$W8:$AE11,5,FALSE)</f>
        <v>0</v>
      </c>
      <c r="BQ10" s="6">
        <f>VLOOKUP($BL10,$W8:$AE11,6,FALSE)</f>
        <v>0</v>
      </c>
      <c r="BR10" s="6">
        <f>VLOOKUP($BL10,$W8:$AE11,7,FALSE)</f>
        <v>0</v>
      </c>
      <c r="BS10" s="6">
        <f>VLOOKUP($BL10,$W8:$AE11,8,FALSE)</f>
        <v>0</v>
      </c>
      <c r="BT10" s="6">
        <f>VLOOKUP($BL10,$W8:$AE11,9,FALSE)</f>
        <v>0</v>
      </c>
    </row>
    <row r="11" spans="2:72" ht="15.75" thickBot="1">
      <c r="B11" s="36">
        <v>0.7986111111111112</v>
      </c>
      <c r="C11" s="36" t="str">
        <f>W8</f>
        <v>Nässjö City</v>
      </c>
      <c r="D11" s="22" t="s">
        <v>23</v>
      </c>
      <c r="E11" s="4"/>
      <c r="F11" s="5"/>
      <c r="G11" s="22" t="s">
        <v>28</v>
      </c>
      <c r="H11" s="24" t="str">
        <f>W10</f>
        <v>Malmbäcks IF</v>
      </c>
      <c r="I11" s="24" t="s">
        <v>17</v>
      </c>
      <c r="J11" s="6">
        <f>IF(E11&lt;&gt;"",IF(E11&gt;F11,D11,IF(F11&gt;E11,G11,"Draw")),"")</f>
      </c>
      <c r="K11" s="6">
        <f>IF(E11&lt;&gt;"",IF(E11&lt;F11,D11,IF(F11&lt;E11,G11,"Draw")),"")</f>
      </c>
      <c r="M11" s="9" t="s">
        <v>37</v>
      </c>
      <c r="N11" s="10"/>
      <c r="O11" s="10"/>
      <c r="P11" s="10"/>
      <c r="Q11" s="10"/>
      <c r="R11" s="10"/>
      <c r="S11" s="10"/>
      <c r="T11" s="10"/>
      <c r="U11" s="11"/>
      <c r="W11" s="6" t="s">
        <v>69</v>
      </c>
      <c r="X11" s="6">
        <f>COUNT(Denmark_Played)</f>
        <v>0</v>
      </c>
      <c r="Y11" s="6">
        <f>COUNTIF(Groupstage_Winners,"Denmark")</f>
        <v>0</v>
      </c>
      <c r="Z11" s="6">
        <f>COUNTIF(Groupstage_Losers,"Denmark")</f>
        <v>0</v>
      </c>
      <c r="AA11" s="6">
        <f>X11-(Y11+Z11)</f>
        <v>0</v>
      </c>
      <c r="AB11" s="6">
        <f>SUM(Denmark_Played)</f>
        <v>0</v>
      </c>
      <c r="AC11" s="6">
        <f>SUM(Denmark_Against)</f>
        <v>0</v>
      </c>
      <c r="AD11" s="6">
        <f>AB11-AC11</f>
        <v>0</v>
      </c>
      <c r="AE11" s="6">
        <f>Y11*Winpoints+AA11*Drawpoints</f>
        <v>0</v>
      </c>
      <c r="AF11" s="6" t="str">
        <f>IF($AE11&lt;=$AE10,$W11,$W10)</f>
        <v>Sävsjö FF</v>
      </c>
      <c r="AG11" s="6">
        <f>VLOOKUP($AF11,$W8:$AE11,9,FALSE)</f>
        <v>0</v>
      </c>
      <c r="AH11" s="6" t="str">
        <f>IF(AG11&lt;=AG9,AF11,AF9)</f>
        <v>Sävsjö FF</v>
      </c>
      <c r="AI11" s="6">
        <f>VLOOKUP($AH11,$W8:$AE11,9,FALSE)</f>
        <v>0</v>
      </c>
      <c r="AJ11" s="6" t="str">
        <f>IF($AI11&lt;=$AI8,$AH11,$AH8)</f>
        <v>Sävsjö FF</v>
      </c>
      <c r="AK11" s="6">
        <f>VLOOKUP($AJ11,$W8:$AE11,9,FALSE)</f>
        <v>0</v>
      </c>
      <c r="AL11" s="6">
        <f>VLOOKUP($AJ11,$W8:$AE11,8,FALSE)</f>
        <v>0</v>
      </c>
      <c r="AM11" s="6" t="str">
        <f>IF(AND($AK10=$AK11,$AL11&gt;$AL10),$AJ10,$AJ11)</f>
        <v>Sävsjö FF</v>
      </c>
      <c r="AN11" s="6">
        <f>VLOOKUP($AM11,$W8:$AE11,9,FALSE)</f>
        <v>0</v>
      </c>
      <c r="AO11" s="6">
        <f>VLOOKUP($AM11,$W8:$AE11,8,FALSE)</f>
        <v>0</v>
      </c>
      <c r="AP11" s="6" t="str">
        <f>IF(AND($AN9=$AN11,$AO11&gt;$AO9),$AM9,$AM11)</f>
        <v>Sävsjö FF</v>
      </c>
      <c r="AQ11" s="6">
        <f>VLOOKUP($AP11,$W8:$AE11,9,FALSE)</f>
        <v>0</v>
      </c>
      <c r="AR11" s="6">
        <f>VLOOKUP($AP11,$W8:$AE11,8,FALSE)</f>
        <v>0</v>
      </c>
      <c r="AS11" s="6" t="str">
        <f>IF(AND($AQ8=$AQ11,$AR11&gt;$AR8),$AP8,$AP11)</f>
        <v>Sävsjö FF</v>
      </c>
      <c r="AT11" s="6">
        <f>VLOOKUP($AS11,$W8:$AE11,9,FALSE)</f>
        <v>0</v>
      </c>
      <c r="AU11" s="6">
        <f>VLOOKUP($AS11,$W8:$AE11,8,FALSE)</f>
        <v>0</v>
      </c>
      <c r="AV11" s="6">
        <f>VLOOKUP($AS11,$W8:$AE11,6,FALSE)</f>
        <v>0</v>
      </c>
      <c r="AW11" s="6" t="str">
        <f>IF(AND($AT10=$AT11,$AU10=$AU11,$AV11&gt;$AV10),$AS10,$AS11)</f>
        <v>Sävsjö FF</v>
      </c>
      <c r="AX11" s="6">
        <f>VLOOKUP($AW11,$W8:$AE11,9,FALSE)</f>
        <v>0</v>
      </c>
      <c r="AY11" s="6">
        <f>VLOOKUP($AW11,$W8:$AE11,8,FALSE)</f>
        <v>0</v>
      </c>
      <c r="AZ11" s="6">
        <f>VLOOKUP($AW11,$W8:$AE11,6,FALSE)</f>
        <v>0</v>
      </c>
      <c r="BA11" s="6" t="str">
        <f>IF(AND($AX9=$AX11,$AY9=$AY11,$AZ11&gt;$AZ9),$AW9,$AW11)</f>
        <v>Sävsjö FF</v>
      </c>
      <c r="BB11" s="6">
        <f>VLOOKUP($BA11,$W8:$AE11,9,FALSE)</f>
        <v>0</v>
      </c>
      <c r="BC11" s="6">
        <f>VLOOKUP($BA11,$W8:$AE11,8,FALSE)</f>
        <v>0</v>
      </c>
      <c r="BD11" s="6">
        <f>VLOOKUP($BA11,$W8:$AE11,6,FALSE)</f>
        <v>0</v>
      </c>
      <c r="BE11" s="6" t="str">
        <f>IF(AND($BB8=$BB11,$BC8=$BC11,$BD11&gt;$BD8),$BA8,$BA11)</f>
        <v>Sävsjö FF</v>
      </c>
      <c r="BF11" s="6">
        <f>VLOOKUP($BE11,$W8:$AE11,9,FALSE)</f>
        <v>0</v>
      </c>
      <c r="BG11" s="6">
        <f>VLOOKUP($BE11,$W8:$AE11,8,FALSE)</f>
        <v>0</v>
      </c>
      <c r="BH11" s="6">
        <f>VLOOKUP($BE11,$W8:$AE11,6,FALSE)</f>
        <v>0</v>
      </c>
      <c r="BL11" s="6" t="str">
        <f>BE11</f>
        <v>Sävsjö FF</v>
      </c>
      <c r="BM11" s="6">
        <f>VLOOKUP($BL11,$W8:$AE11,2,FALSE)</f>
        <v>0</v>
      </c>
      <c r="BN11" s="6">
        <f>VLOOKUP($BL11,$W8:$AE11,3,FALSE)</f>
        <v>0</v>
      </c>
      <c r="BO11" s="6">
        <f>VLOOKUP($BL11,$W8:$AE11,4,FALSE)</f>
        <v>0</v>
      </c>
      <c r="BP11" s="6">
        <f>VLOOKUP($BL11,$W8:$AE11,5,FALSE)</f>
        <v>0</v>
      </c>
      <c r="BQ11" s="6">
        <f>VLOOKUP($BL11,$W8:$AE11,6,FALSE)</f>
        <v>0</v>
      </c>
      <c r="BR11" s="6">
        <f>VLOOKUP($BL11,$W8:$AE11,7,FALSE)</f>
        <v>0</v>
      </c>
      <c r="BS11" s="6">
        <f>VLOOKUP($BL11,$W8:$AE11,8,FALSE)</f>
        <v>0</v>
      </c>
      <c r="BT11" s="6">
        <f>VLOOKUP($BL11,$W8:$AE11,9,FALSE)</f>
        <v>0</v>
      </c>
    </row>
    <row r="12" spans="2:21" ht="13.5" thickBot="1">
      <c r="B12" s="36">
        <v>0.8159722222222222</v>
      </c>
      <c r="C12" s="36" t="str">
        <f>W15</f>
        <v>Annebergs IF</v>
      </c>
      <c r="D12" s="22" t="s">
        <v>30</v>
      </c>
      <c r="E12" s="4"/>
      <c r="F12" s="5"/>
      <c r="G12" s="22" t="s">
        <v>32</v>
      </c>
      <c r="H12" s="24" t="str">
        <f>W17</f>
        <v>Stensjöns IF</v>
      </c>
      <c r="I12" s="24" t="s">
        <v>19</v>
      </c>
      <c r="J12" s="6">
        <f>IF(E13&lt;&gt;"",IF(E13&gt;F13,D13,IF(F13&gt;E13,G13,"Draw")),"")</f>
      </c>
      <c r="K12" s="6">
        <f>IF(E13&lt;&gt;"",IF(E13&lt;F13,D13,IF(F13&lt;E13,G13,"Draw")),"")</f>
      </c>
      <c r="M12" s="14"/>
      <c r="N12" s="15" t="s">
        <v>39</v>
      </c>
      <c r="O12" s="15" t="s">
        <v>40</v>
      </c>
      <c r="P12" s="15" t="s">
        <v>16</v>
      </c>
      <c r="Q12" s="15" t="s">
        <v>41</v>
      </c>
      <c r="R12" s="15" t="s">
        <v>42</v>
      </c>
      <c r="S12" s="15" t="s">
        <v>43</v>
      </c>
      <c r="T12" s="15" t="s">
        <v>44</v>
      </c>
      <c r="U12" s="16" t="s">
        <v>45</v>
      </c>
    </row>
    <row r="13" spans="2:23" ht="13.5" thickBot="1">
      <c r="B13" s="36">
        <v>0.8333333333333334</v>
      </c>
      <c r="C13" s="36" t="str">
        <f>W11</f>
        <v>Sävsjö FF</v>
      </c>
      <c r="D13" s="22" t="s">
        <v>29</v>
      </c>
      <c r="E13" s="4"/>
      <c r="F13" s="5"/>
      <c r="G13" s="22" t="s">
        <v>27</v>
      </c>
      <c r="H13" s="24" t="str">
        <f>W9</f>
        <v>Solberga GIF</v>
      </c>
      <c r="I13" s="24" t="s">
        <v>17</v>
      </c>
      <c r="J13" s="6">
        <f>IF(E12&lt;&gt;"",IF(E12&gt;F12,D12,IF(F12&gt;E12,G12,"Draw")),"")</f>
      </c>
      <c r="K13" s="6">
        <f>IF(E12&lt;&gt;"",IF(E12&lt;F12,D12,IF(F12&lt;E12,G12,"Draw")),"")</f>
      </c>
      <c r="M13" s="44" t="str">
        <f aca="true" t="shared" si="2" ref="M13:U16">BL15</f>
        <v>Annebergs IF</v>
      </c>
      <c r="N13" s="20">
        <f t="shared" si="2"/>
        <v>0</v>
      </c>
      <c r="O13" s="20">
        <f t="shared" si="2"/>
        <v>0</v>
      </c>
      <c r="P13" s="20">
        <f t="shared" si="2"/>
        <v>0</v>
      </c>
      <c r="Q13" s="20">
        <f t="shared" si="2"/>
        <v>0</v>
      </c>
      <c r="R13" s="20">
        <f t="shared" si="2"/>
        <v>0</v>
      </c>
      <c r="S13" s="20">
        <f t="shared" si="2"/>
        <v>0</v>
      </c>
      <c r="T13" s="20">
        <f t="shared" si="2"/>
        <v>0</v>
      </c>
      <c r="U13" s="21">
        <f t="shared" si="2"/>
        <v>0</v>
      </c>
      <c r="W13" s="6" t="s">
        <v>37</v>
      </c>
    </row>
    <row r="14" spans="2:31" ht="13.5" thickBot="1">
      <c r="B14" s="62">
        <v>0.8506944444444445</v>
      </c>
      <c r="C14" s="62" t="str">
        <f>W18</f>
        <v>Bodafors SK</v>
      </c>
      <c r="D14" s="22" t="s">
        <v>33</v>
      </c>
      <c r="E14" s="4"/>
      <c r="F14" s="5"/>
      <c r="G14" s="22" t="s">
        <v>31</v>
      </c>
      <c r="H14" s="63" t="str">
        <f>W16</f>
        <v>Nässjö FF</v>
      </c>
      <c r="I14" s="24" t="s">
        <v>19</v>
      </c>
      <c r="J14" s="6">
        <f>IF(E14&lt;&gt;"",IF(E14&gt;F14,D14,IF(F14&gt;E14,G14,"Draw")),"")</f>
      </c>
      <c r="K14" s="6">
        <f>IF(E14&lt;&gt;"",IF(E14&lt;F14,D14,IF(F14&lt;E14,G14,"Draw")),"")</f>
      </c>
      <c r="M14" s="44" t="str">
        <f t="shared" si="2"/>
        <v>Nässjö FF</v>
      </c>
      <c r="N14" s="20">
        <f t="shared" si="2"/>
        <v>0</v>
      </c>
      <c r="O14" s="20">
        <f t="shared" si="2"/>
        <v>0</v>
      </c>
      <c r="P14" s="20">
        <f t="shared" si="2"/>
        <v>0</v>
      </c>
      <c r="Q14" s="20">
        <f t="shared" si="2"/>
        <v>0</v>
      </c>
      <c r="R14" s="20">
        <f t="shared" si="2"/>
        <v>0</v>
      </c>
      <c r="S14" s="20">
        <f t="shared" si="2"/>
        <v>0</v>
      </c>
      <c r="T14" s="20">
        <f t="shared" si="2"/>
        <v>0</v>
      </c>
      <c r="U14" s="21">
        <f t="shared" si="2"/>
        <v>0</v>
      </c>
      <c r="X14" s="6" t="s">
        <v>20</v>
      </c>
      <c r="Y14" s="6" t="s">
        <v>13</v>
      </c>
      <c r="Z14" s="6" t="s">
        <v>14</v>
      </c>
      <c r="AA14" s="6" t="s">
        <v>15</v>
      </c>
      <c r="AB14" s="6" t="s">
        <v>16</v>
      </c>
      <c r="AC14" s="6" t="s">
        <v>17</v>
      </c>
      <c r="AD14" s="6" t="s">
        <v>18</v>
      </c>
      <c r="AE14" s="6" t="s">
        <v>21</v>
      </c>
    </row>
    <row r="15" spans="2:72" ht="13.5" thickBot="1">
      <c r="B15" s="36">
        <v>0.8680555555555555</v>
      </c>
      <c r="C15" s="36" t="str">
        <f>W11</f>
        <v>Sävsjö FF</v>
      </c>
      <c r="D15" s="22" t="s">
        <v>29</v>
      </c>
      <c r="E15" s="4"/>
      <c r="F15" s="5"/>
      <c r="G15" s="22" t="s">
        <v>23</v>
      </c>
      <c r="H15" s="24" t="str">
        <f>W8</f>
        <v>Nässjö City</v>
      </c>
      <c r="I15" s="24" t="s">
        <v>17</v>
      </c>
      <c r="J15" s="6">
        <f>IF(E17&lt;&gt;"",IF(E17&gt;F17,D17,IF(F17&gt;E17,G17,"Draw")),"")</f>
      </c>
      <c r="K15" s="6">
        <f>IF(E17&lt;&gt;"",IF(E17&lt;F17,D17,IF(F17&lt;E17,G17,"Draw")),"")</f>
      </c>
      <c r="M15" s="44" t="str">
        <f t="shared" si="2"/>
        <v>Stensjöns IF</v>
      </c>
      <c r="N15" s="20">
        <f t="shared" si="2"/>
        <v>0</v>
      </c>
      <c r="O15" s="20">
        <f t="shared" si="2"/>
        <v>0</v>
      </c>
      <c r="P15" s="20">
        <f t="shared" si="2"/>
        <v>0</v>
      </c>
      <c r="Q15" s="20">
        <f t="shared" si="2"/>
        <v>0</v>
      </c>
      <c r="R15" s="20">
        <f t="shared" si="2"/>
        <v>0</v>
      </c>
      <c r="S15" s="20">
        <f t="shared" si="2"/>
        <v>0</v>
      </c>
      <c r="T15" s="20">
        <f t="shared" si="2"/>
        <v>0</v>
      </c>
      <c r="U15" s="21">
        <f t="shared" si="2"/>
        <v>0</v>
      </c>
      <c r="W15" s="6" t="s">
        <v>65</v>
      </c>
      <c r="X15" s="6">
        <f>COUNT(Spain_Played)</f>
        <v>0</v>
      </c>
      <c r="Y15" s="6">
        <f>COUNTIF(Groupstage_Winners,"Spain")</f>
        <v>0</v>
      </c>
      <c r="Z15" s="6">
        <f>COUNTIF(Groupstage_Losers,"Spain")</f>
        <v>0</v>
      </c>
      <c r="AA15" s="6">
        <f>X15-(Y15+Z15)</f>
        <v>0</v>
      </c>
      <c r="AB15" s="6">
        <f>SUM(Spain_Played)</f>
        <v>0</v>
      </c>
      <c r="AC15" s="6">
        <f>SUM(Spain_Against)</f>
        <v>0</v>
      </c>
      <c r="AD15" s="6">
        <f>AB15-AC15</f>
        <v>0</v>
      </c>
      <c r="AE15" s="6">
        <f>Y15*Winpoints+AA15*Drawpoints</f>
        <v>0</v>
      </c>
      <c r="AF15" s="6" t="str">
        <f>IF($AE15&gt;=$AE16,$W15,$W16)</f>
        <v>Annebergs IF</v>
      </c>
      <c r="AG15" s="6">
        <f>VLOOKUP($AF15,$W15:$AE18,9,FALSE)</f>
        <v>0</v>
      </c>
      <c r="AH15" s="6" t="str">
        <f>IF($AG15&gt;=$AG17,$AF15,$AF17)</f>
        <v>Annebergs IF</v>
      </c>
      <c r="AI15" s="6">
        <f>VLOOKUP($AH15,$W15:$AE18,9,FALSE)</f>
        <v>0</v>
      </c>
      <c r="AJ15" s="6" t="str">
        <f>IF($AI15&gt;=$AI18,$AH15,$AH18)</f>
        <v>Annebergs IF</v>
      </c>
      <c r="AK15" s="6">
        <f>VLOOKUP($AJ15,$W15:$AE18,9,FALSE)</f>
        <v>0</v>
      </c>
      <c r="AL15" s="6">
        <f>VLOOKUP($AJ15,$W15:$AE18,8,FALSE)</f>
        <v>0</v>
      </c>
      <c r="AM15" s="6" t="str">
        <f>IF(AND($AK15=$AK16,$AL16&gt;$AL15),$AJ16,$AJ15)</f>
        <v>Annebergs IF</v>
      </c>
      <c r="AN15" s="6">
        <f>VLOOKUP($AM15,$W15:$AE18,9,FALSE)</f>
        <v>0</v>
      </c>
      <c r="AO15" s="6">
        <f>VLOOKUP($AM15,$W15:$AE18,8,FALSE)</f>
        <v>0</v>
      </c>
      <c r="AP15" s="6" t="str">
        <f>IF(AND($AN15=$AN17,$AO17&gt;$AO15),$AM17,$AM15)</f>
        <v>Annebergs IF</v>
      </c>
      <c r="AQ15" s="6">
        <f>VLOOKUP($AP15,$W15:$AE18,9,FALSE)</f>
        <v>0</v>
      </c>
      <c r="AR15" s="6">
        <f>VLOOKUP($AP15,$W15:$AE18,8,FALSE)</f>
        <v>0</v>
      </c>
      <c r="AS15" s="6" t="str">
        <f>IF(AND($AQ15=$AQ18,$AR18&gt;$AR15),$AP18,$AP15)</f>
        <v>Annebergs IF</v>
      </c>
      <c r="AT15" s="6">
        <f>VLOOKUP($AS15,$W15:$AE18,9,FALSE)</f>
        <v>0</v>
      </c>
      <c r="AU15" s="6">
        <f>VLOOKUP($AS15,$W15:$AE18,8,FALSE)</f>
        <v>0</v>
      </c>
      <c r="AV15" s="6">
        <f>VLOOKUP($AS15,$W15:$AE18,6,FALSE)</f>
        <v>0</v>
      </c>
      <c r="AW15" s="6" t="str">
        <f>IF(AND($AT15=$AT16,$AU15=$AU16,$AV16&gt;$AV15),$AS16,$AS15)</f>
        <v>Annebergs IF</v>
      </c>
      <c r="AX15" s="6">
        <f>VLOOKUP($AW15,$W15:$AE18,9,FALSE)</f>
        <v>0</v>
      </c>
      <c r="AY15" s="6">
        <f>VLOOKUP($AW15,$W15:$AE18,8,FALSE)</f>
        <v>0</v>
      </c>
      <c r="AZ15" s="6">
        <f>VLOOKUP($AW15,$W15:$AE18,6,FALSE)</f>
        <v>0</v>
      </c>
      <c r="BA15" s="6" t="str">
        <f>IF(AND($AX15=$AX17,$AY15=$AY17,$AZ17&gt;$AZ15),$AW17,$AW15)</f>
        <v>Annebergs IF</v>
      </c>
      <c r="BB15" s="6">
        <f>VLOOKUP($BA15,$W15:$AE18,9,FALSE)</f>
        <v>0</v>
      </c>
      <c r="BC15" s="6">
        <f>VLOOKUP($BA15,$W15:$AE18,8,FALSE)</f>
        <v>0</v>
      </c>
      <c r="BD15" s="6">
        <f>VLOOKUP($BA15,$W15:$AE18,6,FALSE)</f>
        <v>0</v>
      </c>
      <c r="BE15" s="6" t="str">
        <f>IF(AND($BB15=$BB18,$BC15=$BC18,$BD18&gt;$BD15),$BA18,$BA15)</f>
        <v>Annebergs IF</v>
      </c>
      <c r="BF15" s="6">
        <f>VLOOKUP($BE15,$W15:$AE18,9,FALSE)</f>
        <v>0</v>
      </c>
      <c r="BG15" s="6">
        <f>VLOOKUP($BE15,$W15:$AE18,8,FALSE)</f>
        <v>0</v>
      </c>
      <c r="BH15" s="6">
        <f>VLOOKUP($BE15,$W15:$AE18,6,FALSE)</f>
        <v>0</v>
      </c>
      <c r="BL15" s="6" t="str">
        <f>BE15</f>
        <v>Annebergs IF</v>
      </c>
      <c r="BM15" s="6">
        <f>VLOOKUP($BL15,$W15:$AE18,2,FALSE)</f>
        <v>0</v>
      </c>
      <c r="BN15" s="6">
        <f>VLOOKUP($BL15,$W15:$AE18,3,FALSE)</f>
        <v>0</v>
      </c>
      <c r="BO15" s="6">
        <f>VLOOKUP($BL15,$W15:$AE18,4,FALSE)</f>
        <v>0</v>
      </c>
      <c r="BP15" s="6">
        <f>VLOOKUP($BL15,$W15:$AE18,5,FALSE)</f>
        <v>0</v>
      </c>
      <c r="BQ15" s="6">
        <f>VLOOKUP($BL15,$W15:$AE18,6,FALSE)</f>
        <v>0</v>
      </c>
      <c r="BR15" s="6">
        <f>VLOOKUP($BL15,$W15:$AE18,7,FALSE)</f>
        <v>0</v>
      </c>
      <c r="BS15" s="6">
        <f>VLOOKUP($BL15,$W15:$AE18,8,FALSE)</f>
        <v>0</v>
      </c>
      <c r="BT15" s="6">
        <f>VLOOKUP($BL15,$W15:$AE18,9,FALSE)</f>
        <v>0</v>
      </c>
    </row>
    <row r="16" spans="2:72" ht="13.5" thickBot="1">
      <c r="B16" s="36">
        <v>0.8854166666666666</v>
      </c>
      <c r="C16" s="36" t="str">
        <f>W16</f>
        <v>Nässjö FF</v>
      </c>
      <c r="D16" s="22" t="s">
        <v>31</v>
      </c>
      <c r="E16" s="4"/>
      <c r="F16" s="5"/>
      <c r="G16" s="22" t="s">
        <v>32</v>
      </c>
      <c r="H16" s="24" t="str">
        <f>W17</f>
        <v>Stensjöns IF</v>
      </c>
      <c r="I16" s="24" t="s">
        <v>19</v>
      </c>
      <c r="J16" s="6">
        <f>IF(E15&lt;&gt;"",IF(E15&gt;F15,D15,IF(F15&gt;E15,G15,"Draw")),"")</f>
      </c>
      <c r="K16" s="6">
        <f>IF(E15&lt;&gt;"",IF(E15&lt;F15,D15,IF(F15&lt;E15,G15,"Draw")),"")</f>
      </c>
      <c r="M16" s="45" t="str">
        <f t="shared" si="2"/>
        <v>Bodafors SK</v>
      </c>
      <c r="N16" s="26">
        <f t="shared" si="2"/>
        <v>0</v>
      </c>
      <c r="O16" s="26">
        <f t="shared" si="2"/>
        <v>0</v>
      </c>
      <c r="P16" s="26">
        <f t="shared" si="2"/>
        <v>0</v>
      </c>
      <c r="Q16" s="26">
        <f t="shared" si="2"/>
        <v>0</v>
      </c>
      <c r="R16" s="26">
        <f t="shared" si="2"/>
        <v>0</v>
      </c>
      <c r="S16" s="26">
        <f t="shared" si="2"/>
        <v>0</v>
      </c>
      <c r="T16" s="26">
        <f t="shared" si="2"/>
        <v>0</v>
      </c>
      <c r="U16" s="27">
        <f t="shared" si="2"/>
        <v>0</v>
      </c>
      <c r="W16" s="6" t="s">
        <v>50</v>
      </c>
      <c r="X16" s="6">
        <f>COUNT(Slovenia_Played)</f>
        <v>0</v>
      </c>
      <c r="Y16" s="6">
        <f>COUNTIF(Groupstage_Winners,"Slovenia")</f>
        <v>0</v>
      </c>
      <c r="Z16" s="6">
        <f>COUNTIF(Groupstage_Losers,"Slovenia")</f>
        <v>0</v>
      </c>
      <c r="AA16" s="6">
        <f>X16-(Y16+Z16)</f>
        <v>0</v>
      </c>
      <c r="AB16" s="6">
        <f>SUM(Slovenia_Played)</f>
        <v>0</v>
      </c>
      <c r="AC16" s="6">
        <f>SUM(Slovenia_Against)</f>
        <v>0</v>
      </c>
      <c r="AD16" s="6">
        <f>AB16-AC16</f>
        <v>0</v>
      </c>
      <c r="AE16" s="6">
        <f>Y16*Winpoints+AA16*Drawpoints</f>
        <v>0</v>
      </c>
      <c r="AF16" s="6" t="str">
        <f>IF($AE16&lt;=$AE15,$W16,$W15)</f>
        <v>Nässjö FF</v>
      </c>
      <c r="AG16" s="6">
        <f>VLOOKUP($AF16,$W15:$AE18,9,FALSE)</f>
        <v>0</v>
      </c>
      <c r="AH16" s="6" t="str">
        <f>IF(AG16&gt;=AG18,AF16,AF18)</f>
        <v>Nässjö FF</v>
      </c>
      <c r="AI16" s="6">
        <f>VLOOKUP($AH16,$W15:$AE18,9,FALSE)</f>
        <v>0</v>
      </c>
      <c r="AJ16" s="6" t="str">
        <f>IF($AI16&gt;=$AI17,$AH16,$AH17)</f>
        <v>Nässjö FF</v>
      </c>
      <c r="AK16" s="6">
        <f>VLOOKUP($AJ16,$W15:$AE18,9,FALSE)</f>
        <v>0</v>
      </c>
      <c r="AL16" s="6">
        <f>VLOOKUP($AJ16,$W15:$AE18,8,FALSE)</f>
        <v>0</v>
      </c>
      <c r="AM16" s="6" t="str">
        <f>IF(AND($AK15=$AK16,$AL16&gt;$AL15),$AJ15,$AJ16)</f>
        <v>Nässjö FF</v>
      </c>
      <c r="AN16" s="6">
        <f>VLOOKUP($AM16,$W15:$AE18,9,FALSE)</f>
        <v>0</v>
      </c>
      <c r="AO16" s="6">
        <f>VLOOKUP($AM16,$W15:$AE18,8,FALSE)</f>
        <v>0</v>
      </c>
      <c r="AP16" s="6" t="str">
        <f>IF(AND($AN16=$AN18,$AO18&gt;$AO16),$AM18,$AM16)</f>
        <v>Nässjö FF</v>
      </c>
      <c r="AQ16" s="6">
        <f>VLOOKUP($AP16,$W15:$AE18,9,FALSE)</f>
        <v>0</v>
      </c>
      <c r="AR16" s="6">
        <f>VLOOKUP($AP16,$W15:$AE18,8,FALSE)</f>
        <v>0</v>
      </c>
      <c r="AS16" s="6" t="str">
        <f>IF(AND($AQ16=$AQ17,$AR17&gt;$AR16),$AP17,$AP16)</f>
        <v>Nässjö FF</v>
      </c>
      <c r="AT16" s="6">
        <f>VLOOKUP($AS16,$W15:$AE18,9,FALSE)</f>
        <v>0</v>
      </c>
      <c r="AU16" s="6">
        <f>VLOOKUP($AS16,$W15:$AE18,8,FALSE)</f>
        <v>0</v>
      </c>
      <c r="AV16" s="6">
        <f>VLOOKUP($AS16,$W15:$AE18,6,FALSE)</f>
        <v>0</v>
      </c>
      <c r="AW16" s="6" t="str">
        <f>IF(AND($AT15=$AT16,$AU15=$AU16,$AV16&gt;$AV15),$AS15,$AS16)</f>
        <v>Nässjö FF</v>
      </c>
      <c r="AX16" s="6">
        <f>VLOOKUP($AW16,$W15:$AE18,9,FALSE)</f>
        <v>0</v>
      </c>
      <c r="AY16" s="6">
        <f>VLOOKUP($AW16,$W15:$AE18,8,FALSE)</f>
        <v>0</v>
      </c>
      <c r="AZ16" s="6">
        <f>VLOOKUP($AW16,$W15:$AE18,6,FALSE)</f>
        <v>0</v>
      </c>
      <c r="BA16" s="6" t="str">
        <f>IF(AND($AX16=$AX18,$AY16=$AY18,$AZ18&gt;$AZ16),$AW18,$AW16)</f>
        <v>Nässjö FF</v>
      </c>
      <c r="BB16" s="6">
        <f>VLOOKUP($BA16,$W15:$AE18,9,FALSE)</f>
        <v>0</v>
      </c>
      <c r="BC16" s="6">
        <f>VLOOKUP($BA16,$W15:$AE18,8,FALSE)</f>
        <v>0</v>
      </c>
      <c r="BD16" s="6">
        <f>VLOOKUP($BA16,$W15:$AE18,6,FALSE)</f>
        <v>0</v>
      </c>
      <c r="BE16" s="6" t="str">
        <f>IF(AND($BB16=$BB17,$BC16=$BC17,$BD17&gt;$BD16),$BA17,$BA16)</f>
        <v>Nässjö FF</v>
      </c>
      <c r="BF16" s="6">
        <f>VLOOKUP($BE16,$W15:$AE18,9,FALSE)</f>
        <v>0</v>
      </c>
      <c r="BG16" s="6">
        <f>VLOOKUP($BE16,$W15:$AE18,8,FALSE)</f>
        <v>0</v>
      </c>
      <c r="BH16" s="6">
        <f>VLOOKUP($BE16,$W15:$AE18,6,FALSE)</f>
        <v>0</v>
      </c>
      <c r="BL16" s="6" t="str">
        <f>BE16</f>
        <v>Nässjö FF</v>
      </c>
      <c r="BM16" s="6">
        <f>VLOOKUP($BL16,$W15:$AE18,2,FALSE)</f>
        <v>0</v>
      </c>
      <c r="BN16" s="6">
        <f>VLOOKUP($BL16,$W15:$AE18,3,FALSE)</f>
        <v>0</v>
      </c>
      <c r="BO16" s="6">
        <f>VLOOKUP($BL16,$W15:$AE18,4,FALSE)</f>
        <v>0</v>
      </c>
      <c r="BP16" s="6">
        <f>VLOOKUP($BL16,$W15:$AE18,5,FALSE)</f>
        <v>0</v>
      </c>
      <c r="BQ16" s="6">
        <f>VLOOKUP($BL16,$W15:$AE18,6,FALSE)</f>
        <v>0</v>
      </c>
      <c r="BR16" s="6">
        <f>VLOOKUP($BL16,$W15:$AE18,7,FALSE)</f>
        <v>0</v>
      </c>
      <c r="BS16" s="6">
        <f>VLOOKUP($BL16,$W15:$AE18,8,FALSE)</f>
        <v>0</v>
      </c>
      <c r="BT16" s="6">
        <f>VLOOKUP($BL16,$W15:$AE18,9,FALSE)</f>
        <v>0</v>
      </c>
    </row>
    <row r="17" spans="2:72" ht="13.5" thickBot="1">
      <c r="B17" s="36">
        <v>0.9027777777777778</v>
      </c>
      <c r="C17" s="36" t="str">
        <f>W9</f>
        <v>Solberga GIF</v>
      </c>
      <c r="D17" s="22" t="s">
        <v>27</v>
      </c>
      <c r="E17" s="4"/>
      <c r="F17" s="5"/>
      <c r="G17" s="22" t="s">
        <v>28</v>
      </c>
      <c r="H17" s="24" t="str">
        <f>W10</f>
        <v>Malmbäcks IF</v>
      </c>
      <c r="I17" s="24" t="s">
        <v>17</v>
      </c>
      <c r="J17" s="6">
        <f>IF(E16&lt;&gt;"",IF(E16&gt;F16,D16,IF(F16&gt;E16,G16,"Draw")),"")</f>
      </c>
      <c r="K17" s="6">
        <f>IF(E16&lt;&gt;"",IF(E16&lt;F16,D16,IF(F16&lt;E16,G16,"Draw")),"")</f>
      </c>
      <c r="W17" s="6" t="s">
        <v>51</v>
      </c>
      <c r="X17" s="6">
        <f>COUNT(Paraguay_Played)</f>
        <v>0</v>
      </c>
      <c r="Y17" s="6">
        <f>COUNTIF(Groupstage_Winners,"Paraguay")</f>
        <v>0</v>
      </c>
      <c r="Z17" s="6">
        <f>COUNTIF(Groupstage_Losers,"Paraguay")</f>
        <v>0</v>
      </c>
      <c r="AA17" s="6">
        <f>X17-(Y17+Z17)</f>
        <v>0</v>
      </c>
      <c r="AB17" s="6">
        <f>SUM(Paraguay_Played)</f>
        <v>0</v>
      </c>
      <c r="AC17" s="6">
        <f>SUM(Paraguay_Against)</f>
        <v>0</v>
      </c>
      <c r="AD17" s="6">
        <f>AB17-AC17</f>
        <v>0</v>
      </c>
      <c r="AE17" s="6">
        <f>Y17*Winpoints+AA17*Drawpoints</f>
        <v>0</v>
      </c>
      <c r="AF17" s="6" t="str">
        <f>IF($AE17&gt;=$AE18,$W17,$W18)</f>
        <v>Stensjöns IF</v>
      </c>
      <c r="AG17" s="6">
        <f>VLOOKUP($AF17,$W15:$AE18,9,FALSE)</f>
        <v>0</v>
      </c>
      <c r="AH17" s="6" t="str">
        <f>IF($AG17&lt;=$AG15,$AF17,$AF15)</f>
        <v>Stensjöns IF</v>
      </c>
      <c r="AI17" s="6">
        <f>VLOOKUP($AH17,$W15:$AE18,9,FALSE)</f>
        <v>0</v>
      </c>
      <c r="AJ17" s="6" t="str">
        <f>IF($AI17&lt;=$AI16,$AH17,$AH16)</f>
        <v>Stensjöns IF</v>
      </c>
      <c r="AK17" s="6">
        <f>VLOOKUP($AJ17,$W15:$AE18,9,FALSE)</f>
        <v>0</v>
      </c>
      <c r="AL17" s="6">
        <f>VLOOKUP($AJ17,$W15:$AE18,8,FALSE)</f>
        <v>0</v>
      </c>
      <c r="AM17" s="6" t="str">
        <f>IF(AND($AK17=$AK18,$AL18&gt;$AL17),$AJ18,$AJ17)</f>
        <v>Stensjöns IF</v>
      </c>
      <c r="AN17" s="6">
        <f>VLOOKUP($AM17,$W15:$AE18,9,FALSE)</f>
        <v>0</v>
      </c>
      <c r="AO17" s="6">
        <f>VLOOKUP($AM17,$W15:$AE18,8,FALSE)</f>
        <v>0</v>
      </c>
      <c r="AP17" s="6" t="str">
        <f>IF(AND($AN15=$AN17,$AO17&gt;$AO15),$AM15,$AM17)</f>
        <v>Stensjöns IF</v>
      </c>
      <c r="AQ17" s="6">
        <f>VLOOKUP($AP17,$W15:$AE18,9,FALSE)</f>
        <v>0</v>
      </c>
      <c r="AR17" s="6">
        <f>VLOOKUP($AP17,$W15:$AE18,8,FALSE)</f>
        <v>0</v>
      </c>
      <c r="AS17" s="6" t="str">
        <f>IF(AND($AQ16=$AQ17,$AR17&gt;$AR16),$AP16,$AP17)</f>
        <v>Stensjöns IF</v>
      </c>
      <c r="AT17" s="6">
        <f>VLOOKUP($AS17,$W15:$AE18,9,FALSE)</f>
        <v>0</v>
      </c>
      <c r="AU17" s="6">
        <f>VLOOKUP($AS17,$W15:$AE18,8,FALSE)</f>
        <v>0</v>
      </c>
      <c r="AV17" s="6">
        <f>VLOOKUP($AS17,$W15:$AE18,6,FALSE)</f>
        <v>0</v>
      </c>
      <c r="AW17" s="6" t="str">
        <f>IF(AND($AT17=$AT18,$AU17=$AU18,$AV18&gt;$AV17),$AS18,$AS17)</f>
        <v>Stensjöns IF</v>
      </c>
      <c r="AX17" s="6">
        <f>VLOOKUP($AW17,$W15:$AE18,9,FALSE)</f>
        <v>0</v>
      </c>
      <c r="AY17" s="6">
        <f>VLOOKUP($AW17,$W15:$AE18,8,FALSE)</f>
        <v>0</v>
      </c>
      <c r="AZ17" s="6">
        <f>VLOOKUP($AW17,$W15:$AE18,6,FALSE)</f>
        <v>0</v>
      </c>
      <c r="BA17" s="6" t="str">
        <f>IF(AND($AX15=$AX17,$AY15=$AY17,$AZ16&gt;$AZ15),$AW15,$AW17)</f>
        <v>Stensjöns IF</v>
      </c>
      <c r="BB17" s="6">
        <f>VLOOKUP($BA17,$W15:$AE18,9,FALSE)</f>
        <v>0</v>
      </c>
      <c r="BC17" s="6">
        <f>VLOOKUP($BA17,$W15:$AE18,8,FALSE)</f>
        <v>0</v>
      </c>
      <c r="BD17" s="6">
        <f>VLOOKUP($BA17,$W15:$AE18,6,FALSE)</f>
        <v>0</v>
      </c>
      <c r="BE17" s="6" t="str">
        <f>IF(AND($BB16=$BB17,$BC16=$BC17,$BD17&gt;$BD16),$BA16,$BA17)</f>
        <v>Stensjöns IF</v>
      </c>
      <c r="BF17" s="6">
        <f>VLOOKUP($BE17,$W15:$AE18,9,FALSE)</f>
        <v>0</v>
      </c>
      <c r="BG17" s="6">
        <f>VLOOKUP($BE17,$W15:$AE18,8,FALSE)</f>
        <v>0</v>
      </c>
      <c r="BH17" s="6">
        <f>VLOOKUP($BE17,$W15:$AE18,6,FALSE)</f>
        <v>0</v>
      </c>
      <c r="BL17" s="6" t="str">
        <f>BE17</f>
        <v>Stensjöns IF</v>
      </c>
      <c r="BM17" s="6">
        <f>VLOOKUP($BL17,$W15:$AE18,2,FALSE)</f>
        <v>0</v>
      </c>
      <c r="BN17" s="6">
        <f>VLOOKUP($BL17,$W15:$AE18,3,FALSE)</f>
        <v>0</v>
      </c>
      <c r="BO17" s="6">
        <f>VLOOKUP($BL17,$W15:$AE18,4,FALSE)</f>
        <v>0</v>
      </c>
      <c r="BP17" s="6">
        <f>VLOOKUP($BL17,$W15:$AE18,5,FALSE)</f>
        <v>0</v>
      </c>
      <c r="BQ17" s="6">
        <f>VLOOKUP($BL17,$W15:$AE18,6,FALSE)</f>
        <v>0</v>
      </c>
      <c r="BR17" s="6">
        <f>VLOOKUP($BL17,$W15:$AE18,7,FALSE)</f>
        <v>0</v>
      </c>
      <c r="BS17" s="6">
        <f>VLOOKUP($BL17,$W15:$AE18,8,FALSE)</f>
        <v>0</v>
      </c>
      <c r="BT17" s="6">
        <f>VLOOKUP($BL17,$W15:$AE18,9,FALSE)</f>
        <v>0</v>
      </c>
    </row>
    <row r="18" spans="2:72" ht="15.75" thickBot="1">
      <c r="B18" s="36">
        <v>0.9201388888888888</v>
      </c>
      <c r="C18" s="36" t="str">
        <f>W18</f>
        <v>Bodafors SK</v>
      </c>
      <c r="D18" s="22" t="s">
        <v>33</v>
      </c>
      <c r="E18" s="4"/>
      <c r="F18" s="5"/>
      <c r="G18" s="22" t="s">
        <v>30</v>
      </c>
      <c r="H18" s="24" t="str">
        <f>W15</f>
        <v>Annebergs IF</v>
      </c>
      <c r="I18" s="24" t="s">
        <v>19</v>
      </c>
      <c r="J18" s="6">
        <f>IF(E18&lt;&gt;"",IF(E18&gt;F18,D18,IF(F18&gt;E18,G18,"Draw")),"")</f>
      </c>
      <c r="K18" s="6">
        <f>IF(E18&lt;&gt;"",IF(E18&lt;F18,D18,IF(F18&lt;E18,G18,"Draw")),"")</f>
      </c>
      <c r="M18" s="28"/>
      <c r="N18" s="29"/>
      <c r="O18" s="29"/>
      <c r="P18" s="29"/>
      <c r="Q18" s="29"/>
      <c r="R18" s="29"/>
      <c r="S18" s="29"/>
      <c r="T18" s="29"/>
      <c r="U18" s="29"/>
      <c r="W18" s="6" t="s">
        <v>53</v>
      </c>
      <c r="X18" s="6">
        <f>COUNT(South_Africa_Played)</f>
        <v>0</v>
      </c>
      <c r="Y18" s="6">
        <f>COUNTIF(Groupstage_Winners,"South Africa")</f>
        <v>0</v>
      </c>
      <c r="Z18" s="6">
        <f>COUNTIF(Groupstage_Losers,"South Africa")</f>
        <v>0</v>
      </c>
      <c r="AA18" s="6">
        <f>X18-(Y18+Z18)</f>
        <v>0</v>
      </c>
      <c r="AB18" s="6">
        <f>SUM(South_Africa_Played)</f>
        <v>0</v>
      </c>
      <c r="AC18" s="6">
        <f>SUM(South_Africa_Against)</f>
        <v>0</v>
      </c>
      <c r="AD18" s="6">
        <f>AB18-AC18</f>
        <v>0</v>
      </c>
      <c r="AE18" s="6">
        <f>Y18*Winpoints+AA18*Drawpoints</f>
        <v>0</v>
      </c>
      <c r="AF18" s="6" t="str">
        <f>IF($AE18&lt;=$AE17,$W18,$W17)</f>
        <v>Bodafors SK</v>
      </c>
      <c r="AG18" s="6">
        <f>VLOOKUP($AF18,$W15:$AE18,9,FALSE)</f>
        <v>0</v>
      </c>
      <c r="AH18" s="6" t="str">
        <f>IF(AG18&lt;=AG16,AF18,AF16)</f>
        <v>Bodafors SK</v>
      </c>
      <c r="AI18" s="6">
        <f>VLOOKUP($AH18,$W15:$AE18,9,FALSE)</f>
        <v>0</v>
      </c>
      <c r="AJ18" s="6" t="str">
        <f>IF($AI18&lt;=$AI15,$AH18,$AH15)</f>
        <v>Bodafors SK</v>
      </c>
      <c r="AK18" s="6">
        <f>VLOOKUP($AJ18,$W15:$AE18,9,FALSE)</f>
        <v>0</v>
      </c>
      <c r="AL18" s="6">
        <f>VLOOKUP($AJ18,$W15:$AE18,8,FALSE)</f>
        <v>0</v>
      </c>
      <c r="AM18" s="6" t="str">
        <f>IF(AND($AK17=$AK18,$AL18&gt;$AL17),$AJ17,$AJ18)</f>
        <v>Bodafors SK</v>
      </c>
      <c r="AN18" s="6">
        <f>VLOOKUP($AM18,$W15:$AE18,9,FALSE)</f>
        <v>0</v>
      </c>
      <c r="AO18" s="6">
        <f>VLOOKUP($AM18,$W15:$AE18,8,FALSE)</f>
        <v>0</v>
      </c>
      <c r="AP18" s="6" t="str">
        <f>IF(AND($AN16=$AN18,$AO18&gt;$AO16),$AM16,$AM18)</f>
        <v>Bodafors SK</v>
      </c>
      <c r="AQ18" s="6">
        <f>VLOOKUP($AP18,$W15:$AE18,9,FALSE)</f>
        <v>0</v>
      </c>
      <c r="AR18" s="6">
        <f>VLOOKUP($AP18,$W15:$AE18,8,FALSE)</f>
        <v>0</v>
      </c>
      <c r="AS18" s="6" t="str">
        <f>IF(AND($AQ15=$AQ18,$AR18&gt;$AR15),$AP15,$AP18)</f>
        <v>Bodafors SK</v>
      </c>
      <c r="AT18" s="6">
        <f>VLOOKUP($AS18,$W15:$AE18,9,FALSE)</f>
        <v>0</v>
      </c>
      <c r="AU18" s="6">
        <f>VLOOKUP($AS18,$W15:$AE18,8,FALSE)</f>
        <v>0</v>
      </c>
      <c r="AV18" s="6">
        <f>VLOOKUP($AS18,$W15:$AE18,6,FALSE)</f>
        <v>0</v>
      </c>
      <c r="AW18" s="6" t="str">
        <f>IF(AND($AT17=$AT18,$AU17=$AU18,$AV18&gt;$AV17),$AS17,$AS18)</f>
        <v>Bodafors SK</v>
      </c>
      <c r="AX18" s="6">
        <f>VLOOKUP($AW18,$W15:$AE18,9,FALSE)</f>
        <v>0</v>
      </c>
      <c r="AY18" s="6">
        <f>VLOOKUP($AW18,$W15:$AE18,8,FALSE)</f>
        <v>0</v>
      </c>
      <c r="AZ18" s="6">
        <f>VLOOKUP($AW18,$W15:$AE18,6,FALSE)</f>
        <v>0</v>
      </c>
      <c r="BA18" s="6" t="str">
        <f>IF(AND($AX16=$AX18,$AY16=$AY18,$AZ18&gt;$AZ16),$AW16,$AW18)</f>
        <v>Bodafors SK</v>
      </c>
      <c r="BB18" s="6">
        <f>VLOOKUP($BA18,$W15:$AE18,9,FALSE)</f>
        <v>0</v>
      </c>
      <c r="BC18" s="6">
        <f>VLOOKUP($BA18,$W15:$AE18,8,FALSE)</f>
        <v>0</v>
      </c>
      <c r="BD18" s="6">
        <f>VLOOKUP($BA18,$W15:$AE18,6,FALSE)</f>
        <v>0</v>
      </c>
      <c r="BE18" s="6" t="str">
        <f>IF(AND($BB15=$BB18,$BC15=$BC18,$BD18&gt;$BD15),$BA15,$BA18)</f>
        <v>Bodafors SK</v>
      </c>
      <c r="BF18" s="6">
        <f>VLOOKUP($BE18,$W15:$AE18,9,FALSE)</f>
        <v>0</v>
      </c>
      <c r="BG18" s="6">
        <f>VLOOKUP($BE18,$W15:$AE18,8,FALSE)</f>
        <v>0</v>
      </c>
      <c r="BH18" s="6">
        <f>VLOOKUP($BE18,$W15:$AE18,6,FALSE)</f>
        <v>0</v>
      </c>
      <c r="BL18" s="6" t="str">
        <f>BE18</f>
        <v>Bodafors SK</v>
      </c>
      <c r="BM18" s="6">
        <f>VLOOKUP($BL18,$W15:$AE18,2,FALSE)</f>
        <v>0</v>
      </c>
      <c r="BN18" s="6">
        <f>VLOOKUP($BL18,$W15:$AE18,3,FALSE)</f>
        <v>0</v>
      </c>
      <c r="BO18" s="6">
        <f>VLOOKUP($BL18,$W15:$AE18,4,FALSE)</f>
        <v>0</v>
      </c>
      <c r="BP18" s="6">
        <f>VLOOKUP($BL18,$W15:$AE18,5,FALSE)</f>
        <v>0</v>
      </c>
      <c r="BQ18" s="6">
        <f>VLOOKUP($BL18,$W15:$AE18,6,FALSE)</f>
        <v>0</v>
      </c>
      <c r="BR18" s="6">
        <f>VLOOKUP($BL18,$W15:$AE18,7,FALSE)</f>
        <v>0</v>
      </c>
      <c r="BS18" s="6">
        <f>VLOOKUP($BL18,$W15:$AE18,8,FALSE)</f>
        <v>0</v>
      </c>
      <c r="BT18" s="6">
        <f>VLOOKUP($BL18,$W15:$AE18,9,FALSE)</f>
        <v>0</v>
      </c>
    </row>
    <row r="19" spans="4:21" ht="12.75">
      <c r="D19" s="30"/>
      <c r="E19" s="3"/>
      <c r="F19" s="31"/>
      <c r="M19" s="23"/>
      <c r="N19" s="32"/>
      <c r="O19" s="32"/>
      <c r="P19" s="32"/>
      <c r="Q19" s="32"/>
      <c r="R19" s="32"/>
      <c r="S19" s="32"/>
      <c r="T19" s="32"/>
      <c r="U19" s="32"/>
    </row>
    <row r="20" spans="5:21" ht="12.75">
      <c r="E20" s="3"/>
      <c r="F20" s="31"/>
      <c r="M20" s="23"/>
      <c r="N20" s="20"/>
      <c r="O20" s="20"/>
      <c r="P20" s="20"/>
      <c r="Q20" s="20"/>
      <c r="R20" s="20"/>
      <c r="S20" s="20"/>
      <c r="T20" s="20"/>
      <c r="U20" s="20"/>
    </row>
    <row r="21" spans="2:21" ht="15">
      <c r="B21" s="57" t="s">
        <v>61</v>
      </c>
      <c r="C21" s="58"/>
      <c r="D21" s="34"/>
      <c r="E21" s="34"/>
      <c r="F21" s="34"/>
      <c r="G21" s="34"/>
      <c r="H21" s="37"/>
      <c r="I21" s="35"/>
      <c r="M21" s="23"/>
      <c r="N21" s="20"/>
      <c r="O21" s="20"/>
      <c r="P21" s="20"/>
      <c r="Q21" s="20"/>
      <c r="R21" s="20"/>
      <c r="S21" s="20"/>
      <c r="T21" s="20"/>
      <c r="U21" s="20"/>
    </row>
    <row r="22" spans="2:21" ht="15">
      <c r="B22" s="42" t="s">
        <v>35</v>
      </c>
      <c r="C22" s="12" t="s">
        <v>59</v>
      </c>
      <c r="D22" s="12"/>
      <c r="E22" s="12"/>
      <c r="F22" s="12"/>
      <c r="G22" s="12"/>
      <c r="H22" s="12" t="s">
        <v>60</v>
      </c>
      <c r="I22" s="13"/>
      <c r="M22" s="23"/>
      <c r="N22" s="20"/>
      <c r="O22" s="20"/>
      <c r="P22" s="20"/>
      <c r="Q22" s="20"/>
      <c r="R22" s="20"/>
      <c r="S22" s="20"/>
      <c r="T22" s="20"/>
      <c r="U22" s="20"/>
    </row>
    <row r="23" spans="5:21" ht="13.5" thickBot="1">
      <c r="E23" s="3"/>
      <c r="F23" s="31"/>
      <c r="M23" s="23"/>
      <c r="N23" s="20"/>
      <c r="O23" s="20"/>
      <c r="P23" s="20"/>
      <c r="Q23" s="20"/>
      <c r="R23" s="20"/>
      <c r="S23" s="20"/>
      <c r="T23" s="20"/>
      <c r="U23" s="20"/>
    </row>
    <row r="24" spans="2:21" ht="13.5" thickBot="1">
      <c r="B24" s="38">
        <v>0.9375</v>
      </c>
      <c r="C24" s="31" t="str">
        <f>D24</f>
        <v>Winner A</v>
      </c>
      <c r="D24" s="3" t="str">
        <f>IF(N6=3,M6,"Winner A")</f>
        <v>Winner A</v>
      </c>
      <c r="E24" s="4"/>
      <c r="F24" s="5"/>
      <c r="G24" s="3" t="str">
        <f>IF(N14=3,M14,"Runner-Up B")</f>
        <v>Runner-Up B</v>
      </c>
      <c r="H24" s="31" t="str">
        <f>G24</f>
        <v>Runner-Up B</v>
      </c>
      <c r="J24" s="6" t="str">
        <f>IF(E24&lt;&gt;"",IF(E24&gt;F24,#REF!,IF(F24&gt;E24,G24,"Draw")),"Second Rd 1")</f>
        <v>Second Rd 1</v>
      </c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15.75" thickBot="1">
      <c r="B25" s="38">
        <v>0.9583333333333334</v>
      </c>
      <c r="C25" s="38" t="str">
        <f>D25</f>
        <v>Winner B</v>
      </c>
      <c r="D25" s="3" t="str">
        <f>IF(N13=3,M13,"Winner B")</f>
        <v>Winner B</v>
      </c>
      <c r="E25" s="4"/>
      <c r="F25" s="5"/>
      <c r="G25" s="3" t="str">
        <f>IF(N7=3,M7,"Runner-Up A")</f>
        <v>Runner-Up A</v>
      </c>
      <c r="H25" s="31" t="str">
        <f>G25</f>
        <v>Runner-Up A</v>
      </c>
      <c r="J25" s="6" t="str">
        <f>IF(E25&lt;&gt;"",IF(E25&gt;F25,D24,IF(F25&gt;E25,#REF!,"Draw")),"Second Rd 2")</f>
        <v>Second Rd 2</v>
      </c>
      <c r="M25" s="28"/>
      <c r="N25" s="29"/>
      <c r="O25" s="29"/>
      <c r="P25" s="29"/>
      <c r="Q25" s="29"/>
      <c r="R25" s="29"/>
      <c r="S25" s="29"/>
      <c r="T25" s="29"/>
      <c r="U25" s="29"/>
    </row>
    <row r="26" spans="5:21" ht="12.75">
      <c r="E26" s="3"/>
      <c r="F26" s="31"/>
      <c r="J26" s="6" t="e">
        <f>IF(#REF!&lt;&gt;"",IF(#REF!&gt;#REF!,#REF!,IF(#REF!&gt;#REF!,G25,"Draw")),"Second Rd 3")</f>
        <v>#REF!</v>
      </c>
      <c r="M26" s="23"/>
      <c r="N26" s="32"/>
      <c r="O26" s="32"/>
      <c r="P26" s="32"/>
      <c r="Q26" s="32"/>
      <c r="R26" s="32"/>
      <c r="S26" s="32"/>
      <c r="T26" s="32"/>
      <c r="U26" s="32"/>
    </row>
    <row r="27" spans="5:21" ht="12.75">
      <c r="E27" s="3"/>
      <c r="F27" s="31"/>
      <c r="J27" s="6" t="e">
        <f>IF(#REF!&lt;&gt;"",IF(#REF!&gt;#REF!,D25,IF(#REF!&gt;#REF!,#REF!,"Draw")),"Second Rd 4")</f>
        <v>#REF!</v>
      </c>
      <c r="M27" s="23"/>
      <c r="N27" s="20"/>
      <c r="O27" s="20"/>
      <c r="P27" s="20"/>
      <c r="Q27" s="20"/>
      <c r="R27" s="20"/>
      <c r="S27" s="20"/>
      <c r="T27" s="20"/>
      <c r="U27" s="20"/>
    </row>
    <row r="28" spans="2:21" ht="15">
      <c r="B28" s="57" t="s">
        <v>62</v>
      </c>
      <c r="C28" s="37"/>
      <c r="D28" s="34"/>
      <c r="E28" s="34"/>
      <c r="F28" s="34"/>
      <c r="G28" s="34"/>
      <c r="H28" s="37"/>
      <c r="I28" s="35"/>
      <c r="J28" s="6" t="e">
        <f>IF(#REF!&lt;&gt;"",IF(#REF!&gt;#REF!,#REF!,IF(#REF!&gt;#REF!,#REF!,"Draw")),"Second Rd 5")</f>
        <v>#REF!</v>
      </c>
      <c r="M28" s="23"/>
      <c r="N28" s="20"/>
      <c r="O28" s="20"/>
      <c r="P28" s="20"/>
      <c r="Q28" s="20"/>
      <c r="R28" s="20"/>
      <c r="S28" s="20"/>
      <c r="T28" s="20"/>
      <c r="U28" s="20"/>
    </row>
    <row r="29" spans="2:21" ht="15">
      <c r="B29" s="42" t="s">
        <v>35</v>
      </c>
      <c r="C29" s="12" t="s">
        <v>59</v>
      </c>
      <c r="D29" s="12"/>
      <c r="E29" s="12"/>
      <c r="F29" s="12"/>
      <c r="G29" s="12"/>
      <c r="H29" s="12" t="s">
        <v>60</v>
      </c>
      <c r="I29" s="13"/>
      <c r="J29" s="6" t="e">
        <f>IF(#REF!&lt;&gt;"",IF(#REF!&gt;#REF!,#REF!,IF(#REF!&gt;#REF!,#REF!,"Draw")),"Second Rd 6")</f>
        <v>#REF!</v>
      </c>
      <c r="M29" s="23"/>
      <c r="N29" s="20"/>
      <c r="O29" s="20"/>
      <c r="P29" s="20"/>
      <c r="Q29" s="20"/>
      <c r="R29" s="20"/>
      <c r="S29" s="20"/>
      <c r="T29" s="20"/>
      <c r="U29" s="20"/>
    </row>
    <row r="30" spans="5:21" ht="13.5" thickBot="1">
      <c r="E30" s="3"/>
      <c r="F30" s="31"/>
      <c r="J30" s="6" t="e">
        <f>IF(#REF!&lt;&gt;"",IF(#REF!&gt;#REF!,#REF!,IF(#REF!&gt;#REF!,#REF!,"Draw")),"Second Rd 7")</f>
        <v>#REF!</v>
      </c>
      <c r="M30" s="23"/>
      <c r="N30" s="20"/>
      <c r="O30" s="20"/>
      <c r="P30" s="20"/>
      <c r="Q30" s="20"/>
      <c r="R30" s="20"/>
      <c r="S30" s="20"/>
      <c r="T30" s="20"/>
      <c r="U30" s="20"/>
    </row>
    <row r="31" spans="2:21" ht="13.5" thickBot="1">
      <c r="B31" s="38">
        <v>0.9791666666666666</v>
      </c>
      <c r="D31" s="3">
        <f>C31</f>
        <v>0</v>
      </c>
      <c r="E31" s="4"/>
      <c r="F31" s="5"/>
      <c r="G31" s="3">
        <f>H31</f>
        <v>0</v>
      </c>
      <c r="J31" s="6" t="e">
        <f>IF(#REF!&lt;&gt;"",IF(#REF!&gt;#REF!,#REF!,IF(#REF!&gt;#REF!,#REF!,"Draw")),"Second Rd 8")</f>
        <v>#REF!</v>
      </c>
      <c r="M31" s="23"/>
      <c r="N31" s="23"/>
      <c r="O31" s="23"/>
      <c r="P31" s="23"/>
      <c r="Q31" s="23"/>
      <c r="R31" s="23"/>
      <c r="S31" s="23"/>
      <c r="T31" s="23"/>
      <c r="U31" s="23"/>
    </row>
    <row r="32" spans="13:21" ht="12.75">
      <c r="M32" s="23"/>
      <c r="N32" s="23"/>
      <c r="O32" s="23"/>
      <c r="P32" s="23"/>
      <c r="Q32" s="23"/>
      <c r="R32" s="23"/>
      <c r="S32" s="23"/>
      <c r="T32" s="23"/>
      <c r="U32" s="23"/>
    </row>
    <row r="33" spans="2:21" ht="22.5">
      <c r="B33" s="43" t="s">
        <v>38</v>
      </c>
      <c r="C33" s="60">
        <f>D33</f>
      </c>
      <c r="D33" s="33">
        <f>J59</f>
      </c>
      <c r="M33" s="23"/>
      <c r="N33" s="23"/>
      <c r="O33" s="23"/>
      <c r="P33" s="23"/>
      <c r="Q33" s="23"/>
      <c r="R33" s="23"/>
      <c r="S33" s="23"/>
      <c r="T33" s="23"/>
      <c r="U33" s="23"/>
    </row>
    <row r="34" spans="13:21" ht="15">
      <c r="M34" s="28"/>
      <c r="N34" s="29"/>
      <c r="O34" s="29"/>
      <c r="P34" s="29"/>
      <c r="Q34" s="29"/>
      <c r="R34" s="29"/>
      <c r="S34" s="29"/>
      <c r="T34" s="29"/>
      <c r="U34" s="29"/>
    </row>
    <row r="35" spans="2:21" ht="24.75">
      <c r="B35" s="46" t="s">
        <v>71</v>
      </c>
      <c r="M35" s="23"/>
      <c r="N35" s="32"/>
      <c r="O35" s="32"/>
      <c r="P35" s="32"/>
      <c r="Q35" s="32"/>
      <c r="R35" s="32"/>
      <c r="S35" s="32"/>
      <c r="T35" s="32"/>
      <c r="U35" s="32"/>
    </row>
    <row r="36" spans="2:21" ht="15.75" customHeight="1">
      <c r="B36" s="46"/>
      <c r="M36" s="23"/>
      <c r="N36" s="32"/>
      <c r="O36" s="32"/>
      <c r="P36" s="32"/>
      <c r="Q36" s="32"/>
      <c r="R36" s="32"/>
      <c r="S36" s="32"/>
      <c r="T36" s="32"/>
      <c r="U36" s="32"/>
    </row>
    <row r="37" spans="2:21" ht="15.75" customHeight="1">
      <c r="B37" s="53" t="s">
        <v>54</v>
      </c>
      <c r="C37" s="49"/>
      <c r="D37" s="50"/>
      <c r="E37" s="50"/>
      <c r="F37" s="51"/>
      <c r="G37" s="50"/>
      <c r="H37" s="49"/>
      <c r="I37" s="51"/>
      <c r="J37" s="51"/>
      <c r="K37" s="51"/>
      <c r="L37" s="51"/>
      <c r="M37" s="52"/>
      <c r="N37" s="54"/>
      <c r="O37" s="54"/>
      <c r="P37" s="54"/>
      <c r="Q37" s="54"/>
      <c r="R37" s="54"/>
      <c r="S37" s="54"/>
      <c r="T37" s="54"/>
      <c r="U37" s="54"/>
    </row>
    <row r="38" spans="2:21" ht="15.75" customHeight="1">
      <c r="B38" s="53" t="s">
        <v>57</v>
      </c>
      <c r="C38" s="49"/>
      <c r="D38" s="50"/>
      <c r="E38" s="50"/>
      <c r="F38" s="51"/>
      <c r="G38" s="50"/>
      <c r="H38" s="49"/>
      <c r="I38" s="51"/>
      <c r="J38" s="51"/>
      <c r="K38" s="51"/>
      <c r="L38" s="51"/>
      <c r="M38" s="52"/>
      <c r="N38" s="54"/>
      <c r="O38" s="54"/>
      <c r="P38" s="54"/>
      <c r="Q38" s="54"/>
      <c r="R38" s="54"/>
      <c r="S38" s="54"/>
      <c r="T38" s="54"/>
      <c r="U38" s="54"/>
    </row>
    <row r="39" spans="2:21" ht="15.75" customHeight="1">
      <c r="B39" s="53" t="s">
        <v>56</v>
      </c>
      <c r="M39" s="23"/>
      <c r="N39" s="32"/>
      <c r="O39" s="32"/>
      <c r="P39" s="32"/>
      <c r="Q39" s="32"/>
      <c r="R39" s="32"/>
      <c r="S39" s="32"/>
      <c r="T39" s="32"/>
      <c r="U39" s="32"/>
    </row>
    <row r="40" spans="2:21" ht="15.75" customHeight="1">
      <c r="B40" s="53" t="s">
        <v>55</v>
      </c>
      <c r="M40" s="23"/>
      <c r="N40" s="32"/>
      <c r="O40" s="32"/>
      <c r="P40" s="32"/>
      <c r="Q40" s="32"/>
      <c r="R40" s="32"/>
      <c r="S40" s="32"/>
      <c r="T40" s="32"/>
      <c r="U40" s="32"/>
    </row>
    <row r="41" spans="2:21" ht="15">
      <c r="B41" s="48"/>
      <c r="M41" s="23"/>
      <c r="N41" s="32"/>
      <c r="O41" s="32"/>
      <c r="P41" s="32"/>
      <c r="Q41" s="32"/>
      <c r="R41" s="32"/>
      <c r="S41" s="32"/>
      <c r="T41" s="32"/>
      <c r="U41" s="32"/>
    </row>
    <row r="42" spans="2:21" ht="12.75">
      <c r="B42" s="55"/>
      <c r="M42" s="23"/>
      <c r="N42" s="32"/>
      <c r="O42" s="32"/>
      <c r="P42" s="32"/>
      <c r="Q42" s="32"/>
      <c r="R42" s="32"/>
      <c r="S42" s="32"/>
      <c r="T42" s="32"/>
      <c r="U42" s="32"/>
    </row>
    <row r="43" spans="2:21" ht="12.75">
      <c r="B43" s="55"/>
      <c r="M43" s="23"/>
      <c r="N43" s="32"/>
      <c r="O43" s="32"/>
      <c r="P43" s="32"/>
      <c r="Q43" s="32"/>
      <c r="R43" s="32"/>
      <c r="S43" s="32"/>
      <c r="T43" s="32"/>
      <c r="U43" s="32"/>
    </row>
    <row r="44" spans="2:21" ht="12.75">
      <c r="B44" s="47" t="s">
        <v>66</v>
      </c>
      <c r="M44" s="23"/>
      <c r="N44" s="20"/>
      <c r="O44" s="20"/>
      <c r="P44" s="20"/>
      <c r="Q44" s="20"/>
      <c r="R44" s="20"/>
      <c r="S44" s="20"/>
      <c r="T44" s="20"/>
      <c r="U44" s="20"/>
    </row>
    <row r="45" spans="2:21" ht="12.75">
      <c r="B45" s="47" t="s">
        <v>49</v>
      </c>
      <c r="M45" s="23"/>
      <c r="N45" s="20"/>
      <c r="O45" s="20"/>
      <c r="P45" s="20"/>
      <c r="Q45" s="20"/>
      <c r="R45" s="20"/>
      <c r="S45" s="20"/>
      <c r="T45" s="20"/>
      <c r="U45" s="20"/>
    </row>
    <row r="46" spans="2:72" ht="12.75">
      <c r="B46" s="47" t="s">
        <v>68</v>
      </c>
      <c r="J46" s="6" t="e">
        <f>IF(#REF!&lt;&gt;"",IF(#REF!&gt;#REF!,#REF!,IF(#REF!&gt;#REF!,#REF!,"Draw")),"Quarter-Final 1")</f>
        <v>#REF!</v>
      </c>
      <c r="M46" s="23"/>
      <c r="N46" s="20"/>
      <c r="O46" s="20"/>
      <c r="P46" s="20"/>
      <c r="Q46" s="20"/>
      <c r="R46" s="20"/>
      <c r="S46" s="20"/>
      <c r="T46" s="20"/>
      <c r="U46" s="20"/>
      <c r="AG46" s="25"/>
      <c r="AI46" s="25"/>
      <c r="AK46" s="25"/>
      <c r="AL46" s="25"/>
      <c r="AO46" s="25"/>
      <c r="AR46" s="25"/>
      <c r="AU46" s="25"/>
      <c r="AV46" s="25"/>
      <c r="AY46" s="25"/>
      <c r="AZ46" s="25"/>
      <c r="BC46" s="25"/>
      <c r="BD46" s="25"/>
      <c r="BF46" s="25"/>
      <c r="BG46" s="25"/>
      <c r="BH46" s="25"/>
      <c r="BM46" s="25"/>
      <c r="BN46" s="25"/>
      <c r="BO46" s="25"/>
      <c r="BP46" s="25"/>
      <c r="BQ46" s="25"/>
      <c r="BR46" s="25"/>
      <c r="BS46" s="25"/>
      <c r="BT46" s="25"/>
    </row>
    <row r="47" spans="2:21" ht="12.75">
      <c r="B47" s="47" t="s">
        <v>63</v>
      </c>
      <c r="J47" s="6" t="e">
        <f>IF(#REF!&lt;&gt;"",IF(#REF!&gt;#REF!,#REF!,IF(#REF!&gt;#REF!,#REF!,"Draw")),"Quarter-Final 2")</f>
        <v>#REF!</v>
      </c>
      <c r="M47" s="23"/>
      <c r="N47" s="20"/>
      <c r="O47" s="20"/>
      <c r="P47" s="20"/>
      <c r="Q47" s="20"/>
      <c r="R47" s="20"/>
      <c r="S47" s="20"/>
      <c r="T47" s="20"/>
      <c r="U47" s="20"/>
    </row>
    <row r="48" spans="2:21" ht="12.75">
      <c r="B48" s="47" t="s">
        <v>47</v>
      </c>
      <c r="J48" s="6" t="e">
        <f>IF(#REF!&lt;&gt;"",IF(#REF!&gt;#REF!,#REF!,IF(#REF!&gt;#REF!,#REF!,"Draw")),"Quarter-Final 3")</f>
        <v>#REF!</v>
      </c>
      <c r="M48" s="23"/>
      <c r="N48" s="20"/>
      <c r="O48" s="20"/>
      <c r="P48" s="20"/>
      <c r="Q48" s="20"/>
      <c r="R48" s="20"/>
      <c r="S48" s="20"/>
      <c r="T48" s="20"/>
      <c r="U48" s="20"/>
    </row>
    <row r="49" spans="2:21" ht="12.75">
      <c r="B49" s="47" t="s">
        <v>48</v>
      </c>
      <c r="J49" s="6" t="e">
        <f>IF(#REF!&lt;&gt;"",IF(#REF!&gt;#REF!,#REF!,IF(#REF!&gt;#REF!,#REF!,"Draw")),"Quarter-Final 4")</f>
        <v>#REF!</v>
      </c>
      <c r="M49" s="23"/>
      <c r="N49" s="23"/>
      <c r="O49" s="23"/>
      <c r="P49" s="23"/>
      <c r="Q49" s="23"/>
      <c r="R49" s="23"/>
      <c r="S49" s="23"/>
      <c r="T49" s="23"/>
      <c r="U49" s="23"/>
    </row>
    <row r="50" spans="2:21" ht="15">
      <c r="B50" s="47" t="s">
        <v>46</v>
      </c>
      <c r="M50" s="28"/>
      <c r="N50" s="29"/>
      <c r="O50" s="29"/>
      <c r="P50" s="29"/>
      <c r="Q50" s="29"/>
      <c r="R50" s="29"/>
      <c r="S50" s="29"/>
      <c r="T50" s="29"/>
      <c r="U50" s="29"/>
    </row>
    <row r="51" spans="2:21" ht="12.75">
      <c r="B51" s="47" t="s">
        <v>58</v>
      </c>
      <c r="M51" s="23"/>
      <c r="N51" s="32"/>
      <c r="O51" s="32"/>
      <c r="P51" s="32"/>
      <c r="Q51" s="32"/>
      <c r="R51" s="32"/>
      <c r="S51" s="32"/>
      <c r="T51" s="32"/>
      <c r="U51" s="32"/>
    </row>
    <row r="52" spans="2:21" ht="12.75">
      <c r="B52" s="47"/>
      <c r="M52" s="23"/>
      <c r="N52" s="20"/>
      <c r="O52" s="20"/>
      <c r="P52" s="20"/>
      <c r="Q52" s="20"/>
      <c r="R52" s="20"/>
      <c r="S52" s="20"/>
      <c r="T52" s="20"/>
      <c r="U52" s="20"/>
    </row>
    <row r="53" spans="2:21" ht="12.75">
      <c r="B53" s="47"/>
      <c r="M53" s="23"/>
      <c r="N53" s="20"/>
      <c r="O53" s="20"/>
      <c r="P53" s="20"/>
      <c r="Q53" s="20"/>
      <c r="R53" s="20"/>
      <c r="S53" s="20"/>
      <c r="T53" s="20"/>
      <c r="U53" s="20"/>
    </row>
    <row r="54" spans="2:21" ht="12.75">
      <c r="B54" s="47"/>
      <c r="M54" s="23"/>
      <c r="N54" s="20"/>
      <c r="O54" s="20"/>
      <c r="P54" s="20"/>
      <c r="Q54" s="20"/>
      <c r="R54" s="20"/>
      <c r="S54" s="20"/>
      <c r="T54" s="20"/>
      <c r="U54" s="20"/>
    </row>
    <row r="55" spans="2:21" ht="12.75">
      <c r="B55" s="47"/>
      <c r="J55" s="6" t="e">
        <f>IF(#REF!&lt;&gt;"",IF(#REF!&gt;#REF!,#REF!,IF(#REF!&gt;#REF!,#REF!,"Draw")),"Semi-Final 1")</f>
        <v>#REF!</v>
      </c>
      <c r="M55" s="23"/>
      <c r="N55" s="20"/>
      <c r="O55" s="20"/>
      <c r="P55" s="20"/>
      <c r="Q55" s="20"/>
      <c r="R55" s="20"/>
      <c r="S55" s="20"/>
      <c r="T55" s="20"/>
      <c r="U55" s="20"/>
    </row>
    <row r="56" spans="10:21" ht="12.75">
      <c r="J56" s="6" t="e">
        <f>IF(#REF!&lt;&gt;"",IF(#REF!&gt;#REF!,#REF!,IF(#REF!&gt;#REF!,#REF!,"Draw")),"Semi-Final 2")</f>
        <v>#REF!</v>
      </c>
      <c r="M56" s="23"/>
      <c r="N56" s="23"/>
      <c r="O56" s="23"/>
      <c r="P56" s="23"/>
      <c r="Q56" s="23"/>
      <c r="R56" s="23"/>
      <c r="S56" s="23"/>
      <c r="T56" s="23"/>
      <c r="U56" s="23"/>
    </row>
    <row r="57" spans="13:21" ht="15">
      <c r="M57" s="28"/>
      <c r="N57" s="29"/>
      <c r="O57" s="29"/>
      <c r="P57" s="29"/>
      <c r="Q57" s="29"/>
      <c r="R57" s="29"/>
      <c r="S57" s="29"/>
      <c r="T57" s="29"/>
      <c r="U57" s="29"/>
    </row>
    <row r="58" spans="13:21" ht="12.75">
      <c r="M58" s="23"/>
      <c r="N58" s="32"/>
      <c r="O58" s="32"/>
      <c r="P58" s="32"/>
      <c r="Q58" s="32"/>
      <c r="R58" s="32"/>
      <c r="S58" s="32"/>
      <c r="T58" s="32"/>
      <c r="U58" s="32"/>
    </row>
    <row r="59" spans="10:21" ht="12.75">
      <c r="J59" s="6">
        <f>IF(E31&lt;&gt;"",IF(E31&gt;F31,D31,IF(F31&gt;E31,G31,"Draw")),"")</f>
      </c>
      <c r="M59" s="23"/>
      <c r="N59" s="20"/>
      <c r="O59" s="20"/>
      <c r="P59" s="20"/>
      <c r="Q59" s="20"/>
      <c r="R59" s="20"/>
      <c r="S59" s="20"/>
      <c r="T59" s="20"/>
      <c r="U59" s="20"/>
    </row>
    <row r="60" spans="13:21" ht="12.75">
      <c r="M60" s="23"/>
      <c r="N60" s="20"/>
      <c r="O60" s="20"/>
      <c r="P60" s="20"/>
      <c r="Q60" s="20"/>
      <c r="R60" s="20"/>
      <c r="S60" s="20"/>
      <c r="T60" s="20"/>
      <c r="U60" s="20"/>
    </row>
    <row r="61" spans="13:21" ht="12.75">
      <c r="M61" s="23"/>
      <c r="N61" s="20"/>
      <c r="O61" s="20"/>
      <c r="P61" s="20"/>
      <c r="Q61" s="20"/>
      <c r="R61" s="20"/>
      <c r="S61" s="20"/>
      <c r="T61" s="20"/>
      <c r="U61" s="20"/>
    </row>
    <row r="62" spans="13:21" ht="12.75">
      <c r="M62" s="23"/>
      <c r="N62" s="20"/>
      <c r="O62" s="20"/>
      <c r="P62" s="20"/>
      <c r="Q62" s="20"/>
      <c r="R62" s="20"/>
      <c r="S62" s="20"/>
      <c r="T62" s="20"/>
      <c r="U62" s="20"/>
    </row>
    <row r="63" spans="13:21" ht="12.75">
      <c r="M63" s="23"/>
      <c r="N63" s="23"/>
      <c r="O63" s="23"/>
      <c r="P63" s="23"/>
      <c r="Q63" s="23"/>
      <c r="R63" s="23"/>
      <c r="S63" s="23"/>
      <c r="T63" s="23"/>
      <c r="U63" s="23"/>
    </row>
    <row r="64" spans="13:21" ht="15">
      <c r="M64" s="28"/>
      <c r="N64" s="29"/>
      <c r="O64" s="29"/>
      <c r="P64" s="29"/>
      <c r="Q64" s="29"/>
      <c r="R64" s="29"/>
      <c r="S64" s="29"/>
      <c r="T64" s="29"/>
      <c r="U64" s="29"/>
    </row>
    <row r="65" spans="13:21" ht="12.75">
      <c r="M65" s="23"/>
      <c r="N65" s="32"/>
      <c r="O65" s="32"/>
      <c r="P65" s="32"/>
      <c r="Q65" s="32"/>
      <c r="R65" s="32"/>
      <c r="S65" s="32"/>
      <c r="T65" s="32"/>
      <c r="U65" s="32"/>
    </row>
    <row r="66" spans="13:21" ht="12.75">
      <c r="M66" s="23"/>
      <c r="N66" s="20"/>
      <c r="O66" s="20"/>
      <c r="P66" s="20"/>
      <c r="Q66" s="20"/>
      <c r="R66" s="20"/>
      <c r="S66" s="20"/>
      <c r="T66" s="20"/>
      <c r="U66" s="20"/>
    </row>
    <row r="67" spans="13:21" ht="12.75">
      <c r="M67" s="23"/>
      <c r="N67" s="20"/>
      <c r="O67" s="20"/>
      <c r="P67" s="20"/>
      <c r="Q67" s="20"/>
      <c r="R67" s="20"/>
      <c r="S67" s="20"/>
      <c r="T67" s="20"/>
      <c r="U67" s="20"/>
    </row>
    <row r="68" spans="13:21" ht="12.75">
      <c r="M68" s="23"/>
      <c r="N68" s="20"/>
      <c r="O68" s="20"/>
      <c r="P68" s="20"/>
      <c r="Q68" s="20"/>
      <c r="R68" s="20"/>
      <c r="S68" s="20"/>
      <c r="T68" s="20"/>
      <c r="U68" s="20"/>
    </row>
    <row r="69" spans="13:21" ht="12.75">
      <c r="M69" s="23"/>
      <c r="N69" s="20"/>
      <c r="O69" s="20"/>
      <c r="P69" s="20"/>
      <c r="Q69" s="20"/>
      <c r="R69" s="20"/>
      <c r="S69" s="20"/>
      <c r="T69" s="20"/>
      <c r="U69" s="20"/>
    </row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4" ht="12.75"/>
    <row r="95" ht="12.75"/>
    <row r="96" ht="12.75"/>
  </sheetData>
  <sheetProtection password="CBEB" objects="1"/>
  <mergeCells count="1">
    <mergeCell ref="C1:I1"/>
  </mergeCells>
  <printOptions/>
  <pageMargins left="0.44" right="0.31" top="0.5511811023622047" bottom="0.5511811023622047" header="0.5118110236220472" footer="0.5118110236220472"/>
  <pageSetup horizontalDpi="360" verticalDpi="36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J16:J16"/>
  <sheetViews>
    <sheetView showRowColHeaders="0" showOutlineSymbols="0" zoomScalePageLayoutView="0" workbookViewId="0" topLeftCell="A1">
      <selection activeCell="J16" sqref="J16"/>
    </sheetView>
  </sheetViews>
  <sheetFormatPr defaultColWidth="9.140625" defaultRowHeight="12.75"/>
  <cols>
    <col min="1" max="16384" width="9.140625" style="1" customWidth="1"/>
  </cols>
  <sheetData>
    <row r="15" ht="13.5" thickBot="1"/>
    <row r="16" ht="13.5" thickBot="1">
      <c r="J16" s="2" t="s">
        <v>34</v>
      </c>
    </row>
  </sheetData>
  <sheetProtection/>
  <hyperlinks>
    <hyperlink ref="J16" location="'KJ 2002'!A1" display="'KJ 2002'!A1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J17:J17"/>
  <sheetViews>
    <sheetView showRowColHeaders="0" showOutlineSymbols="0" zoomScalePageLayoutView="0" workbookViewId="0" topLeftCell="A1">
      <selection activeCell="J17" sqref="J17"/>
    </sheetView>
  </sheetViews>
  <sheetFormatPr defaultColWidth="9.140625" defaultRowHeight="12.75"/>
  <cols>
    <col min="1" max="16384" width="9.140625" style="1" customWidth="1"/>
  </cols>
  <sheetData>
    <row r="16" ht="13.5" thickBot="1"/>
    <row r="17" ht="13.5" thickBot="1">
      <c r="J17" s="2" t="s">
        <v>34</v>
      </c>
    </row>
  </sheetData>
  <sheetProtection/>
  <hyperlinks>
    <hyperlink ref="J17" location="'KJ 2002'!A1" display="'KJ 2002'!A1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I17:I17"/>
  <sheetViews>
    <sheetView showRowColHeaders="0" showOutlineSymbols="0" zoomScalePageLayoutView="0" workbookViewId="0" topLeftCell="A1">
      <selection activeCell="I17" sqref="I17"/>
    </sheetView>
  </sheetViews>
  <sheetFormatPr defaultColWidth="9.140625" defaultRowHeight="12.75"/>
  <cols>
    <col min="1" max="16384" width="9.140625" style="1" customWidth="1"/>
  </cols>
  <sheetData>
    <row r="16" ht="13.5" thickBot="1"/>
    <row r="17" ht="13.5" thickBot="1">
      <c r="I17" s="2" t="s">
        <v>34</v>
      </c>
    </row>
  </sheetData>
  <sheetProtection/>
  <hyperlinks>
    <hyperlink ref="I17" location="'KJ 2002'!A1" display="'KJ 2002'!A1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M13:M13"/>
  <sheetViews>
    <sheetView showRowColHeaders="0" showOutlineSymbols="0" zoomScalePageLayoutView="0" workbookViewId="0" topLeftCell="A1">
      <selection activeCell="M13" sqref="M13"/>
    </sheetView>
  </sheetViews>
  <sheetFormatPr defaultColWidth="9.140625" defaultRowHeight="12.75"/>
  <cols>
    <col min="1" max="16384" width="9.140625" style="1" customWidth="1"/>
  </cols>
  <sheetData>
    <row r="12" ht="13.5" thickBot="1"/>
    <row r="13" ht="13.5" thickBot="1">
      <c r="M13" s="2" t="s">
        <v>34</v>
      </c>
    </row>
  </sheetData>
  <sheetProtection/>
  <hyperlinks>
    <hyperlink ref="M13" location="'KJ 2002'!A1" display="'KJ 2002'!A1"/>
  </hyperlink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I16:I16"/>
  <sheetViews>
    <sheetView showRowColHeaders="0" showOutlineSymbols="0" zoomScalePageLayoutView="0" workbookViewId="0" topLeftCell="A1">
      <selection activeCell="I16" sqref="I16"/>
    </sheetView>
  </sheetViews>
  <sheetFormatPr defaultColWidth="9.140625" defaultRowHeight="12.75"/>
  <cols>
    <col min="1" max="16384" width="9.140625" style="1" customWidth="1"/>
  </cols>
  <sheetData>
    <row r="15" ht="13.5" thickBot="1"/>
    <row r="16" ht="13.5" thickBot="1">
      <c r="I16" s="2" t="s">
        <v>34</v>
      </c>
    </row>
  </sheetData>
  <sheetProtection/>
  <hyperlinks>
    <hyperlink ref="I16" location="'KJ 2002'!A1" display="'KJ 2002'!A1"/>
  </hyperlink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B5"/>
  <sheetViews>
    <sheetView showRowColHeaders="0" showOutlineSymbols="0" zoomScalePageLayoutView="0" workbookViewId="0" topLeftCell="A1">
      <selection activeCell="B5" sqref="B5"/>
    </sheetView>
  </sheetViews>
  <sheetFormatPr defaultColWidth="9.140625" defaultRowHeight="12.75"/>
  <cols>
    <col min="1" max="1" width="14.8515625" style="0" customWidth="1"/>
  </cols>
  <sheetData>
    <row r="2" ht="12.75">
      <c r="A2" t="s">
        <v>24</v>
      </c>
    </row>
    <row r="4" spans="1:2" ht="12.75">
      <c r="A4" t="s">
        <v>25</v>
      </c>
      <c r="B4">
        <v>3</v>
      </c>
    </row>
    <row r="5" spans="1:2" ht="12.75">
      <c r="A5" t="s">
        <v>26</v>
      </c>
      <c r="B5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12:I12"/>
  <sheetViews>
    <sheetView showRowColHeaders="0" showOutlineSymbols="0" zoomScalePageLayoutView="0" workbookViewId="0" topLeftCell="A1">
      <selection activeCell="I12" sqref="I12"/>
    </sheetView>
  </sheetViews>
  <sheetFormatPr defaultColWidth="9.140625" defaultRowHeight="12.75"/>
  <cols>
    <col min="1" max="16384" width="9.140625" style="1" customWidth="1"/>
  </cols>
  <sheetData>
    <row r="11" ht="13.5" thickBot="1"/>
    <row r="12" ht="13.5" thickBot="1">
      <c r="I12" s="2" t="s">
        <v>34</v>
      </c>
    </row>
  </sheetData>
  <sheetProtection/>
  <hyperlinks>
    <hyperlink ref="I12" location="'KJ 2002'!A1" display="'KJ 2002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14:H14"/>
  <sheetViews>
    <sheetView showRowColHeaders="0" showOutlineSymbols="0" zoomScalePageLayoutView="0" workbookViewId="0" topLeftCell="A1">
      <selection activeCell="H14" sqref="H14"/>
    </sheetView>
  </sheetViews>
  <sheetFormatPr defaultColWidth="9.140625" defaultRowHeight="12.75"/>
  <cols>
    <col min="1" max="16384" width="9.140625" style="1" customWidth="1"/>
  </cols>
  <sheetData>
    <row r="13" ht="13.5" thickBot="1"/>
    <row r="14" ht="13.5" thickBot="1">
      <c r="H14" s="2" t="s">
        <v>34</v>
      </c>
    </row>
  </sheetData>
  <sheetProtection/>
  <hyperlinks>
    <hyperlink ref="H14" location="'KJ 2002'!A1" display="'KJ 2002'!A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L11:L11"/>
  <sheetViews>
    <sheetView showRowColHeaders="0" showOutlineSymbols="0" zoomScalePageLayoutView="0" workbookViewId="0" topLeftCell="A1">
      <selection activeCell="L11" sqref="L11"/>
    </sheetView>
  </sheetViews>
  <sheetFormatPr defaultColWidth="9.140625" defaultRowHeight="12.75"/>
  <cols>
    <col min="1" max="16384" width="9.140625" style="1" customWidth="1"/>
  </cols>
  <sheetData>
    <row r="10" ht="13.5" thickBot="1"/>
    <row r="11" ht="13.5" thickBot="1">
      <c r="L11" s="2" t="s">
        <v>34</v>
      </c>
    </row>
  </sheetData>
  <sheetProtection/>
  <hyperlinks>
    <hyperlink ref="L11" location="'KJ 2002'!A1" display="'KJ 2002'!A1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I15:I15"/>
  <sheetViews>
    <sheetView showRowColHeaders="0" showOutlineSymbols="0" zoomScalePageLayoutView="0" workbookViewId="0" topLeftCell="A1">
      <selection activeCell="I15" sqref="I15"/>
    </sheetView>
  </sheetViews>
  <sheetFormatPr defaultColWidth="9.140625" defaultRowHeight="12.75"/>
  <cols>
    <col min="1" max="16384" width="9.140625" style="1" customWidth="1"/>
  </cols>
  <sheetData>
    <row r="14" ht="13.5" thickBot="1"/>
    <row r="15" ht="13.5" thickBot="1">
      <c r="I15" s="2" t="s">
        <v>34</v>
      </c>
    </row>
  </sheetData>
  <sheetProtection/>
  <hyperlinks>
    <hyperlink ref="I15" location="'KJ 2002'!A1" display="'KJ 2002'!A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G15:G15"/>
  <sheetViews>
    <sheetView showRowColHeaders="0" showOutlineSymbols="0" zoomScalePageLayoutView="0" workbookViewId="0" topLeftCell="A1">
      <selection activeCell="G15" sqref="G15"/>
    </sheetView>
  </sheetViews>
  <sheetFormatPr defaultColWidth="9.140625" defaultRowHeight="12.75"/>
  <cols>
    <col min="1" max="16384" width="9.140625" style="1" customWidth="1"/>
  </cols>
  <sheetData>
    <row r="14" ht="13.5" thickBot="1"/>
    <row r="15" ht="13.5" thickBot="1">
      <c r="G15" s="2" t="s">
        <v>34</v>
      </c>
    </row>
  </sheetData>
  <sheetProtection/>
  <hyperlinks>
    <hyperlink ref="G15" location="'KJ 2002'!A1" display="'KJ 2002'!A1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H15:H15"/>
  <sheetViews>
    <sheetView showRowColHeaders="0" showOutlineSymbols="0" zoomScalePageLayoutView="0" workbookViewId="0" topLeftCell="A1">
      <selection activeCell="H15" sqref="H15"/>
    </sheetView>
  </sheetViews>
  <sheetFormatPr defaultColWidth="9.140625" defaultRowHeight="12.75"/>
  <cols>
    <col min="1" max="16384" width="9.140625" style="1" customWidth="1"/>
  </cols>
  <sheetData>
    <row r="14" ht="13.5" thickBot="1"/>
    <row r="15" ht="13.5" thickBot="1">
      <c r="H15" s="2" t="s">
        <v>34</v>
      </c>
    </row>
  </sheetData>
  <sheetProtection/>
  <hyperlinks>
    <hyperlink ref="H15" location="'KJ 2002'!A1" display="'KJ 2002'!A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 2002</dc:title>
  <dc:subject/>
  <dc:creator>HP6930</dc:creator>
  <cp:keywords/>
  <dc:description>I hope this works out the points correctly.  I reckon the only reason it wouldn't work is if a pair of teams cannot be separated by point, goal difference or goals scored.    Cheers.</dc:description>
  <cp:lastModifiedBy>Lennart Holm</cp:lastModifiedBy>
  <cp:lastPrinted>2013-01-09T22:27:05Z</cp:lastPrinted>
  <dcterms:created xsi:type="dcterms:W3CDTF">2000-05-07T15:11:05Z</dcterms:created>
  <dcterms:modified xsi:type="dcterms:W3CDTF">2013-01-09T22:27:43Z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